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PPS\ACCTG\Head Start\Head Start Monitoring Response\HS Monitering Closeout Project__\Disallowance\"/>
    </mc:Choice>
  </mc:AlternateContent>
  <xr:revisionPtr revIDLastSave="0" documentId="13_ncr:1_{495CF2A5-18E1-4773-8AF0-73580C83BE3D}" xr6:coauthVersionLast="45" xr6:coauthVersionMax="45" xr10:uidLastSave="{00000000-0000-0000-0000-000000000000}"/>
  <bookViews>
    <workbookView xWindow="-120" yWindow="-120" windowWidth="29040" windowHeight="15840" activeTab="10" xr2:uid="{24D95F6E-4478-4727-8251-FA49AB4ECE5E}"/>
  </bookViews>
  <sheets>
    <sheet name="Summary" sheetId="1" r:id="rId1"/>
    <sheet name="ISEO 61838" sheetId="4" r:id="rId2"/>
    <sheet name="ISEO 62649" sheetId="9" r:id="rId3"/>
    <sheet name="ISEO 62090" sheetId="3" r:id="rId4"/>
    <sheet name="ISEO Deposit" sheetId="8" r:id="rId5"/>
    <sheet name="Cohn Reznick" sheetId="2" r:id="rId6"/>
    <sheet name="Staples" sheetId="7" r:id="rId7"/>
    <sheet name="Staples Invoice Detail " sheetId="11" r:id="rId8"/>
    <sheet name="Selective 3-1-18" sheetId="6" r:id="rId9"/>
    <sheet name="Selective 6-2-18" sheetId="10" r:id="rId10"/>
    <sheet name="Selective 811-9_18" sheetId="5" r:id="rId11"/>
  </sheets>
  <definedNames>
    <definedName name="_xlnm.Print_Area" localSheetId="2">'ISEO 62649'!$A$1:$L$28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9" l="1"/>
  <c r="F14" i="4" l="1"/>
  <c r="F24" i="4"/>
  <c r="H24" i="4" s="1"/>
  <c r="I24" i="4" s="1"/>
  <c r="F23" i="4"/>
  <c r="H23" i="4" s="1"/>
  <c r="I23" i="4" s="1"/>
  <c r="F22" i="4"/>
  <c r="F21" i="4"/>
  <c r="F20" i="4"/>
  <c r="F19" i="4"/>
  <c r="F13" i="4"/>
  <c r="F15" i="4"/>
  <c r="H15" i="4" s="1"/>
  <c r="I15" i="4" s="1"/>
  <c r="F16" i="4"/>
  <c r="H16" i="4" s="1"/>
  <c r="I16" i="4" s="1"/>
  <c r="F17" i="4"/>
  <c r="H17" i="4" s="1"/>
  <c r="I17" i="4" s="1"/>
  <c r="F12" i="4"/>
  <c r="F5" i="4"/>
  <c r="I5" i="4" s="1"/>
  <c r="F6" i="4"/>
  <c r="I6" i="4" s="1"/>
  <c r="F7" i="4"/>
  <c r="I7" i="4" s="1"/>
  <c r="F8" i="4"/>
  <c r="F4" i="4"/>
  <c r="I4" i="4" s="1"/>
  <c r="H18" i="4"/>
  <c r="I8" i="4"/>
  <c r="F9" i="4"/>
  <c r="I9" i="4" s="1"/>
  <c r="H10" i="4"/>
  <c r="F10" i="4" l="1"/>
  <c r="F25" i="4" s="1"/>
  <c r="I10" i="4"/>
  <c r="K10" i="9" l="1"/>
  <c r="L10" i="9" s="1"/>
  <c r="G11" i="9"/>
  <c r="H11" i="9"/>
  <c r="I11" i="9"/>
  <c r="J11" i="9"/>
  <c r="J28" i="9" s="1"/>
  <c r="I28" i="9"/>
  <c r="H3" i="9"/>
  <c r="H20" i="9" s="1"/>
  <c r="L20" i="9" s="1"/>
  <c r="K3" i="9"/>
  <c r="K27" i="9" s="1"/>
  <c r="G3" i="9"/>
  <c r="G14" i="9" s="1"/>
  <c r="J3" i="9"/>
  <c r="I3" i="9"/>
  <c r="G15" i="9"/>
  <c r="K17" i="9" l="1"/>
  <c r="K18" i="9"/>
  <c r="H23" i="9"/>
  <c r="K11" i="9"/>
  <c r="K28" i="9" s="1"/>
  <c r="K19" i="9"/>
  <c r="H22" i="9"/>
  <c r="H25" i="9"/>
  <c r="H15" i="9"/>
  <c r="H24" i="9"/>
  <c r="H14" i="9"/>
  <c r="H28" i="9" l="1"/>
  <c r="G28" i="9"/>
  <c r="F27" i="9"/>
  <c r="L27" i="9" s="1"/>
  <c r="H9" i="3"/>
  <c r="F10" i="3"/>
  <c r="F25" i="3" s="1"/>
  <c r="G25" i="3"/>
  <c r="E24" i="3"/>
  <c r="H24" i="3" s="1"/>
  <c r="E19" i="3"/>
  <c r="H19" i="3" s="1"/>
  <c r="E14" i="3"/>
  <c r="H14" i="3" s="1"/>
  <c r="E7" i="3"/>
  <c r="H7" i="3" s="1"/>
  <c r="E8" i="3"/>
  <c r="H8" i="3" s="1"/>
  <c r="E2" i="3"/>
  <c r="H2" i="3" s="1"/>
  <c r="E15" i="3" l="1"/>
  <c r="H15" i="3" s="1"/>
  <c r="E20" i="3"/>
  <c r="H20" i="3" s="1"/>
  <c r="E22" i="3"/>
  <c r="H22" i="3" s="1"/>
  <c r="E5" i="3"/>
  <c r="H5" i="3" s="1"/>
  <c r="E16" i="3"/>
  <c r="H16" i="3" s="1"/>
  <c r="E4" i="3"/>
  <c r="H4" i="3" s="1"/>
  <c r="E12" i="3"/>
  <c r="H12" i="3" s="1"/>
  <c r="E18" i="3"/>
  <c r="H18" i="3" s="1"/>
  <c r="E23" i="3"/>
  <c r="H23" i="3" s="1"/>
  <c r="E6" i="3"/>
  <c r="H6" i="3" s="1"/>
  <c r="E13" i="3"/>
  <c r="H13" i="3" s="1"/>
  <c r="E17" i="3"/>
  <c r="H17" i="3" s="1"/>
  <c r="E21" i="3"/>
  <c r="H21" i="3" s="1"/>
  <c r="F8" i="9"/>
  <c r="L8" i="9" s="1"/>
  <c r="F15" i="9"/>
  <c r="L15" i="9" s="1"/>
  <c r="F24" i="9"/>
  <c r="L24" i="9" s="1"/>
  <c r="F16" i="9"/>
  <c r="L16" i="9" s="1"/>
  <c r="F25" i="9"/>
  <c r="L25" i="9" s="1"/>
  <c r="F5" i="9"/>
  <c r="L5" i="9" s="1"/>
  <c r="F6" i="9"/>
  <c r="L6" i="9" s="1"/>
  <c r="F17" i="9"/>
  <c r="L17" i="9" s="1"/>
  <c r="F22" i="9"/>
  <c r="L22" i="9" s="1"/>
  <c r="F26" i="9"/>
  <c r="L26" i="9" s="1"/>
  <c r="F19" i="9"/>
  <c r="L19" i="9" s="1"/>
  <c r="F7" i="9"/>
  <c r="L7" i="9" s="1"/>
  <c r="F21" i="9"/>
  <c r="L21" i="9" s="1"/>
  <c r="F9" i="9"/>
  <c r="L9" i="9" s="1"/>
  <c r="F14" i="9"/>
  <c r="L14" i="9" s="1"/>
  <c r="F18" i="9"/>
  <c r="L18" i="9" s="1"/>
  <c r="F23" i="9"/>
  <c r="L23" i="9" s="1"/>
  <c r="F10" i="2"/>
  <c r="H10" i="3" l="1"/>
  <c r="H25" i="3" s="1"/>
  <c r="E10" i="3"/>
  <c r="E25" i="3" s="1"/>
  <c r="L8" i="7"/>
  <c r="L5" i="7"/>
  <c r="L6" i="7"/>
  <c r="L7" i="7"/>
  <c r="L4" i="7"/>
  <c r="H10" i="10" l="1"/>
  <c r="H30" i="10"/>
  <c r="H26" i="10"/>
  <c r="H25" i="10"/>
  <c r="H24" i="10"/>
  <c r="H23" i="10"/>
  <c r="H22" i="10"/>
  <c r="H21" i="10"/>
  <c r="H19" i="10"/>
  <c r="H18" i="10"/>
  <c r="H15" i="10"/>
  <c r="H14" i="10"/>
  <c r="H13" i="10"/>
  <c r="H12" i="10"/>
  <c r="H5" i="10"/>
  <c r="H6" i="10"/>
  <c r="H7" i="10"/>
  <c r="H8" i="10"/>
  <c r="H4" i="10"/>
  <c r="G30" i="10"/>
  <c r="F30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12" i="10"/>
  <c r="F5" i="10"/>
  <c r="F6" i="10"/>
  <c r="F7" i="10"/>
  <c r="F8" i="10"/>
  <c r="F4" i="10"/>
  <c r="D30" i="5"/>
  <c r="D26" i="5"/>
  <c r="D25" i="5"/>
  <c r="D24" i="5"/>
  <c r="D23" i="5"/>
  <c r="D22" i="5"/>
  <c r="D21" i="5"/>
  <c r="D19" i="5"/>
  <c r="D18" i="5"/>
  <c r="D15" i="5"/>
  <c r="D14" i="5"/>
  <c r="D13" i="5"/>
  <c r="D12" i="5"/>
  <c r="P20" i="7"/>
  <c r="P17" i="7"/>
  <c r="P16" i="7"/>
  <c r="O4" i="7"/>
  <c r="O5" i="7"/>
  <c r="P5" i="7" s="1"/>
  <c r="O6" i="7"/>
  <c r="P6" i="7" s="1"/>
  <c r="O7" i="7"/>
  <c r="P7" i="7" s="1"/>
  <c r="O9" i="7"/>
  <c r="L25" i="7"/>
  <c r="P25" i="7" s="1"/>
  <c r="L3" i="7"/>
  <c r="L24" i="7" s="1"/>
  <c r="P24" i="7" s="1"/>
  <c r="N3" i="7"/>
  <c r="N18" i="7" s="1"/>
  <c r="O3" i="7"/>
  <c r="H42" i="11"/>
  <c r="F42" i="11"/>
  <c r="K40" i="11"/>
  <c r="J40" i="11"/>
  <c r="F40" i="11"/>
  <c r="H38" i="11"/>
  <c r="I38" i="11" s="1"/>
  <c r="I37" i="11"/>
  <c r="H37" i="11"/>
  <c r="H36" i="11"/>
  <c r="I36" i="11" s="1"/>
  <c r="I35" i="11"/>
  <c r="H35" i="11"/>
  <c r="H34" i="11"/>
  <c r="I34" i="11" s="1"/>
  <c r="I33" i="11"/>
  <c r="H33" i="11"/>
  <c r="H32" i="11"/>
  <c r="I32" i="11" s="1"/>
  <c r="I31" i="11"/>
  <c r="H31" i="11"/>
  <c r="H30" i="11"/>
  <c r="H40" i="11" s="1"/>
  <c r="I29" i="11"/>
  <c r="H29" i="11"/>
  <c r="F27" i="11"/>
  <c r="I25" i="11"/>
  <c r="H25" i="11"/>
  <c r="H24" i="11"/>
  <c r="I24" i="11" s="1"/>
  <c r="I23" i="11"/>
  <c r="H23" i="11"/>
  <c r="H22" i="11"/>
  <c r="I22" i="11" s="1"/>
  <c r="I21" i="11"/>
  <c r="H21" i="11"/>
  <c r="H20" i="11"/>
  <c r="I20" i="11" s="1"/>
  <c r="I19" i="11"/>
  <c r="H19" i="11"/>
  <c r="H18" i="11"/>
  <c r="J18" i="11" s="1"/>
  <c r="J27" i="11" s="1"/>
  <c r="K17" i="11"/>
  <c r="K27" i="11" s="1"/>
  <c r="K44" i="11" s="1"/>
  <c r="H17" i="11"/>
  <c r="H27" i="11" s="1"/>
  <c r="K15" i="11"/>
  <c r="F15" i="11"/>
  <c r="H13" i="11"/>
  <c r="I13" i="11" s="1"/>
  <c r="I12" i="11"/>
  <c r="H12" i="11"/>
  <c r="H11" i="11"/>
  <c r="I11" i="11" s="1"/>
  <c r="J10" i="11"/>
  <c r="H10" i="11"/>
  <c r="H9" i="11"/>
  <c r="J9" i="11" s="1"/>
  <c r="J8" i="11"/>
  <c r="H8" i="11"/>
  <c r="H7" i="11"/>
  <c r="J7" i="11" s="1"/>
  <c r="J6" i="11"/>
  <c r="H6" i="11"/>
  <c r="H5" i="11"/>
  <c r="H15" i="11" s="1"/>
  <c r="J4" i="11"/>
  <c r="H4" i="11"/>
  <c r="N13" i="7" l="1"/>
  <c r="L14" i="7"/>
  <c r="P14" i="7" s="1"/>
  <c r="P8" i="7"/>
  <c r="O30" i="7"/>
  <c r="L21" i="7"/>
  <c r="P21" i="7" s="1"/>
  <c r="N19" i="7"/>
  <c r="P19" i="7" s="1"/>
  <c r="L15" i="7"/>
  <c r="L22" i="7"/>
  <c r="P22" i="7" s="1"/>
  <c r="P9" i="7"/>
  <c r="N12" i="7"/>
  <c r="N26" i="7"/>
  <c r="L12" i="7"/>
  <c r="L18" i="7"/>
  <c r="P18" i="7" s="1"/>
  <c r="L23" i="7"/>
  <c r="P23" i="7" s="1"/>
  <c r="L26" i="7"/>
  <c r="N15" i="7"/>
  <c r="P15" i="7" s="1"/>
  <c r="L13" i="7"/>
  <c r="P13" i="7" s="1"/>
  <c r="L19" i="7"/>
  <c r="H44" i="11"/>
  <c r="I15" i="11"/>
  <c r="I27" i="11"/>
  <c r="J5" i="11"/>
  <c r="J15" i="11" s="1"/>
  <c r="J44" i="11" s="1"/>
  <c r="I30" i="11"/>
  <c r="I40" i="11" s="1"/>
  <c r="N30" i="7" l="1"/>
  <c r="P12" i="7"/>
  <c r="P26" i="7"/>
  <c r="I44" i="11"/>
  <c r="J30" i="7" l="1"/>
  <c r="J10" i="7"/>
  <c r="G10" i="7"/>
  <c r="G30" i="7" s="1"/>
  <c r="D5" i="5" l="1"/>
  <c r="D6" i="5"/>
  <c r="D7" i="5"/>
  <c r="D8" i="5"/>
  <c r="D4" i="5"/>
  <c r="D30" i="10"/>
  <c r="D26" i="10"/>
  <c r="D25" i="10"/>
  <c r="D24" i="10"/>
  <c r="D23" i="10"/>
  <c r="D22" i="10"/>
  <c r="D21" i="10"/>
  <c r="D19" i="10"/>
  <c r="D18" i="10"/>
  <c r="D15" i="10"/>
  <c r="D14" i="10"/>
  <c r="D13" i="10"/>
  <c r="D12" i="10"/>
  <c r="D5" i="10"/>
  <c r="D6" i="10"/>
  <c r="D7" i="10"/>
  <c r="D8" i="10"/>
  <c r="D4" i="10"/>
  <c r="D30" i="6"/>
  <c r="D26" i="6"/>
  <c r="D25" i="6"/>
  <c r="D24" i="6"/>
  <c r="D23" i="6"/>
  <c r="D22" i="6"/>
  <c r="D21" i="6"/>
  <c r="D19" i="6"/>
  <c r="D18" i="6"/>
  <c r="D15" i="6"/>
  <c r="D14" i="6"/>
  <c r="D13" i="6"/>
  <c r="D12" i="6"/>
  <c r="D5" i="6"/>
  <c r="D6" i="6"/>
  <c r="D7" i="6"/>
  <c r="D8" i="6"/>
  <c r="D4" i="6"/>
  <c r="D30" i="8"/>
  <c r="D26" i="8"/>
  <c r="D25" i="8"/>
  <c r="D24" i="8"/>
  <c r="D23" i="8"/>
  <c r="D22" i="8"/>
  <c r="D21" i="8"/>
  <c r="D19" i="8"/>
  <c r="D18" i="8"/>
  <c r="D15" i="8"/>
  <c r="D14" i="8"/>
  <c r="D13" i="8"/>
  <c r="D12" i="8"/>
  <c r="D5" i="8"/>
  <c r="D6" i="8"/>
  <c r="D7" i="8"/>
  <c r="D8" i="8"/>
  <c r="D4" i="8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5" i="2"/>
  <c r="D6" i="2"/>
  <c r="D7" i="2"/>
  <c r="D8" i="2"/>
  <c r="D4" i="2"/>
  <c r="C14" i="10" l="1"/>
  <c r="B10" i="10"/>
  <c r="B30" i="10" s="1"/>
  <c r="C10" i="10"/>
  <c r="C30" i="10" s="1"/>
  <c r="B11" i="9"/>
  <c r="B28" i="9" s="1"/>
  <c r="C10" i="8"/>
  <c r="C30" i="8" s="1"/>
  <c r="C32" i="8" s="1"/>
  <c r="B10" i="8"/>
  <c r="B30" i="8" s="1"/>
  <c r="C10" i="7"/>
  <c r="C30" i="7" s="1"/>
  <c r="B10" i="7"/>
  <c r="B30" i="7" s="1"/>
  <c r="C10" i="6"/>
  <c r="B10" i="6"/>
  <c r="B30" i="6" s="1"/>
  <c r="C30" i="5"/>
  <c r="B30" i="5"/>
  <c r="C15" i="5"/>
  <c r="C10" i="5"/>
  <c r="B10" i="5"/>
  <c r="C14" i="4"/>
  <c r="H14" i="4" s="1"/>
  <c r="C22" i="4"/>
  <c r="H22" i="4" s="1"/>
  <c r="C21" i="4"/>
  <c r="H21" i="4" s="1"/>
  <c r="C20" i="4"/>
  <c r="H20" i="4" s="1"/>
  <c r="C19" i="4"/>
  <c r="H19" i="4" s="1"/>
  <c r="C13" i="4"/>
  <c r="H13" i="4" s="1"/>
  <c r="C12" i="4"/>
  <c r="H12" i="4" s="1"/>
  <c r="C10" i="4"/>
  <c r="B10" i="4"/>
  <c r="B25" i="4" s="1"/>
  <c r="C10" i="2"/>
  <c r="B10" i="2"/>
  <c r="B10" i="3"/>
  <c r="B25" i="3" s="1"/>
  <c r="I12" i="4" l="1"/>
  <c r="I25" i="4" s="1"/>
  <c r="G12" i="4"/>
  <c r="H25" i="4"/>
  <c r="G13" i="4"/>
  <c r="I13" i="4"/>
  <c r="I22" i="4"/>
  <c r="G22" i="4"/>
  <c r="G20" i="4"/>
  <c r="I20" i="4"/>
  <c r="G21" i="4"/>
  <c r="I21" i="4"/>
  <c r="I19" i="4"/>
  <c r="G19" i="4"/>
  <c r="G14" i="4"/>
  <c r="I14" i="4"/>
  <c r="D26" i="7"/>
  <c r="D25" i="7"/>
  <c r="D21" i="7"/>
  <c r="D14" i="7"/>
  <c r="D6" i="7"/>
  <c r="D19" i="7"/>
  <c r="D13" i="7"/>
  <c r="D7" i="7"/>
  <c r="D23" i="7"/>
  <c r="D18" i="7"/>
  <c r="D12" i="7"/>
  <c r="D8" i="7"/>
  <c r="D22" i="7"/>
  <c r="D15" i="7"/>
  <c r="D5" i="7"/>
  <c r="D4" i="7"/>
  <c r="D24" i="7"/>
  <c r="C30" i="6"/>
  <c r="C25" i="4"/>
  <c r="C24" i="2"/>
  <c r="B24" i="2"/>
  <c r="D30" i="7" l="1"/>
  <c r="D15" i="1"/>
  <c r="E15" i="1" s="1"/>
  <c r="D13" i="1"/>
  <c r="C17" i="1"/>
  <c r="E13" i="1"/>
  <c r="E14" i="1"/>
  <c r="D10" i="1"/>
  <c r="E10" i="1" s="1"/>
  <c r="E9" i="1"/>
  <c r="E8" i="1"/>
  <c r="D7" i="1"/>
  <c r="E7" i="1" s="1"/>
  <c r="D11" i="1"/>
  <c r="E11" i="1"/>
  <c r="L30" i="7" l="1"/>
  <c r="P4" i="7"/>
  <c r="P10" i="7"/>
  <c r="P30" i="7" s="1"/>
  <c r="D12" i="1" l="1"/>
  <c r="D17" i="1" l="1"/>
  <c r="E12" i="1"/>
  <c r="E17" i="1" s="1"/>
  <c r="L11" i="9"/>
  <c r="L28" i="9" s="1"/>
  <c r="F11" i="9"/>
  <c r="F28" i="9" s="1"/>
</calcChain>
</file>

<file path=xl/sharedStrings.xml><?xml version="1.0" encoding="utf-8"?>
<sst xmlns="http://schemas.openxmlformats.org/spreadsheetml/2006/main" count="474" uniqueCount="168">
  <si>
    <t>Vendor</t>
  </si>
  <si>
    <t>1SEO Technologies Inc</t>
  </si>
  <si>
    <t xml:space="preserve">Invoice </t>
  </si>
  <si>
    <t>Original Allocation</t>
  </si>
  <si>
    <t>New Allocation</t>
  </si>
  <si>
    <t>Difference</t>
  </si>
  <si>
    <t>Headstart</t>
  </si>
  <si>
    <t>Deposit</t>
  </si>
  <si>
    <t>Burlington County Community Action Program</t>
  </si>
  <si>
    <t>Headstart Program</t>
  </si>
  <si>
    <t>Cohn Reznick</t>
  </si>
  <si>
    <t>Staples</t>
  </si>
  <si>
    <t>8082641</t>
  </si>
  <si>
    <t>Selective Insurance Co.</t>
  </si>
  <si>
    <t>3-1-18</t>
  </si>
  <si>
    <t>6-2-18</t>
  </si>
  <si>
    <t>811-9/18</t>
  </si>
  <si>
    <t>Total</t>
  </si>
  <si>
    <t>Agency</t>
  </si>
  <si>
    <t>22E18</t>
  </si>
  <si>
    <t>22L18</t>
  </si>
  <si>
    <t>22B18</t>
  </si>
  <si>
    <t>22P18</t>
  </si>
  <si>
    <t>22M18</t>
  </si>
  <si>
    <t>Total HS and Early HS</t>
  </si>
  <si>
    <t>5U17</t>
  </si>
  <si>
    <t>5T17</t>
  </si>
  <si>
    <t>96-18</t>
  </si>
  <si>
    <t>92-18</t>
  </si>
  <si>
    <t>64-18</t>
  </si>
  <si>
    <t>64E18</t>
  </si>
  <si>
    <t>10-18 Area</t>
  </si>
  <si>
    <t>10-18 Resource</t>
  </si>
  <si>
    <t>10-18 Housing</t>
  </si>
  <si>
    <t>10-18 Emergency</t>
  </si>
  <si>
    <t>9-18</t>
  </si>
  <si>
    <t>64F18</t>
  </si>
  <si>
    <t xml:space="preserve">Total </t>
  </si>
  <si>
    <t>10-18</t>
  </si>
  <si>
    <t>22-18</t>
  </si>
  <si>
    <t>10J</t>
  </si>
  <si>
    <t>5</t>
  </si>
  <si>
    <t>10D</t>
  </si>
  <si>
    <t>10C</t>
  </si>
  <si>
    <t>10A</t>
  </si>
  <si>
    <t>Invoice 61838</t>
  </si>
  <si>
    <t>Invoice 62649</t>
  </si>
  <si>
    <t>Invoice 62090</t>
  </si>
  <si>
    <t>Invoice Deposit</t>
  </si>
  <si>
    <t xml:space="preserve">Selective </t>
  </si>
  <si>
    <t>811-9_18</t>
  </si>
  <si>
    <t>Direct Allocation to HS</t>
  </si>
  <si>
    <t>Admin Allocated Portion</t>
  </si>
  <si>
    <t>Admin</t>
  </si>
  <si>
    <t>Admin %</t>
  </si>
  <si>
    <t>%</t>
  </si>
  <si>
    <t>ccyc</t>
  </si>
  <si>
    <t>HF/TIP</t>
  </si>
  <si>
    <t>CCR&amp;R Adm</t>
  </si>
  <si>
    <t>LIHEAP</t>
  </si>
  <si>
    <t>USF</t>
  </si>
  <si>
    <t>PAT</t>
  </si>
  <si>
    <t>YPTC Entry</t>
  </si>
  <si>
    <t>REVERSE THIS</t>
  </si>
  <si>
    <t>Computer Allocations</t>
  </si>
  <si>
    <t>PO55283</t>
  </si>
  <si>
    <t>Computer Model</t>
  </si>
  <si>
    <t>Serial #</t>
  </si>
  <si>
    <t>Location</t>
  </si>
  <si>
    <t>USER</t>
  </si>
  <si>
    <t>Notes</t>
  </si>
  <si>
    <t>Cost</t>
  </si>
  <si>
    <t>Accident Protection</t>
  </si>
  <si>
    <t>Total Cost</t>
  </si>
  <si>
    <t>HS</t>
  </si>
  <si>
    <t xml:space="preserve">CPO </t>
  </si>
  <si>
    <t>Dell Inspiron I36685175BL</t>
  </si>
  <si>
    <t>HB57SJ2</t>
  </si>
  <si>
    <t>Main Office</t>
  </si>
  <si>
    <t>CFO</t>
  </si>
  <si>
    <t>6XH34L2</t>
  </si>
  <si>
    <t>AP</t>
  </si>
  <si>
    <t>41J34L2</t>
  </si>
  <si>
    <t>Accountant</t>
  </si>
  <si>
    <t>5WH34L2</t>
  </si>
  <si>
    <t>Darsh Thind/Accountant</t>
  </si>
  <si>
    <t>8C54SJ2</t>
  </si>
  <si>
    <t>FVH34L2</t>
  </si>
  <si>
    <t>Greta Peterson/Payroll</t>
  </si>
  <si>
    <t>(Originally Meant for Browns Mills Kitchen)</t>
  </si>
  <si>
    <t>H0J34L2</t>
  </si>
  <si>
    <t>Senior Accountant</t>
  </si>
  <si>
    <t>(Originally Meant for Delanco Kitchen)</t>
  </si>
  <si>
    <t>G357SJ2</t>
  </si>
  <si>
    <t>Delanco - Security System/Shared</t>
  </si>
  <si>
    <t>Delanco</t>
  </si>
  <si>
    <t>GHW34L2</t>
  </si>
  <si>
    <t>Lumberton - HS Kitchen</t>
  </si>
  <si>
    <t>Lumberton</t>
  </si>
  <si>
    <t>1XH34L2</t>
  </si>
  <si>
    <t>Delanco - HS Center</t>
  </si>
  <si>
    <t>Dell Latitude HPM4G 3000</t>
  </si>
  <si>
    <t>67VBSJ2</t>
  </si>
  <si>
    <t>CPO</t>
  </si>
  <si>
    <t>Location at 8/31/2020 of this computer</t>
  </si>
  <si>
    <t>65QJTJ2</t>
  </si>
  <si>
    <t>COO</t>
  </si>
  <si>
    <t>11QJTJ2</t>
  </si>
  <si>
    <t>795 Woddlane Rd</t>
  </si>
  <si>
    <t>Christina Buffet</t>
  </si>
  <si>
    <t>20QJTJ2</t>
  </si>
  <si>
    <t>796 Woddlane Rd</t>
  </si>
  <si>
    <t>Bonnie Sheipe</t>
  </si>
  <si>
    <t>55QJTJ2</t>
  </si>
  <si>
    <t>Pemberton HS Center</t>
  </si>
  <si>
    <t>Ingrid Rivera</t>
  </si>
  <si>
    <t>BZPJTJ2</t>
  </si>
  <si>
    <t>Ayanna Martin</t>
  </si>
  <si>
    <t>HZPJTJ2</t>
  </si>
  <si>
    <t>Browns Mills HS Center</t>
  </si>
  <si>
    <t>Donna Wilbur</t>
  </si>
  <si>
    <t>2LVBSJ2</t>
  </si>
  <si>
    <t>Delanco HS Center</t>
  </si>
  <si>
    <t>Maria Figueroa</t>
  </si>
  <si>
    <t>2FVBSJ2</t>
  </si>
  <si>
    <t>Lumberton HS Center</t>
  </si>
  <si>
    <t>Tawanna Hill</t>
  </si>
  <si>
    <t>Current User</t>
  </si>
  <si>
    <t>Dell Chromebook 13 3380 1</t>
  </si>
  <si>
    <t>JQF8TJ2</t>
  </si>
  <si>
    <t>9PF8TJ2</t>
  </si>
  <si>
    <t>JVK4VJ2</t>
  </si>
  <si>
    <t>GPF8TJ2</t>
  </si>
  <si>
    <t>3QF8TJ2</t>
  </si>
  <si>
    <t>2QF8TJ2</t>
  </si>
  <si>
    <t>GQF8TJ2</t>
  </si>
  <si>
    <t>5QK4VJ2</t>
  </si>
  <si>
    <t>4QF8TJ2</t>
  </si>
  <si>
    <t>7PF*TJ2</t>
  </si>
  <si>
    <t>6 - 3 Yr accident coverage @ 79.99 each</t>
  </si>
  <si>
    <t>J. Rivera, CPO</t>
  </si>
  <si>
    <t>Direct HS</t>
  </si>
  <si>
    <t>Browns Mills</t>
  </si>
  <si>
    <t>Nesbit</t>
  </si>
  <si>
    <t>Early HS</t>
  </si>
  <si>
    <t>Entry</t>
  </si>
  <si>
    <t>Revised Entry</t>
  </si>
  <si>
    <t xml:space="preserve">YPTC </t>
  </si>
  <si>
    <t>REVERSE</t>
  </si>
  <si>
    <t>correct %</t>
  </si>
  <si>
    <t>JE-HS-Adj-001</t>
  </si>
  <si>
    <t>All</t>
  </si>
  <si>
    <t>HS Lumberton</t>
  </si>
  <si>
    <t>CCR&amp;R Direct</t>
  </si>
  <si>
    <t>Liheap/USF</t>
  </si>
  <si>
    <t>Vansciver</t>
  </si>
  <si>
    <t>Woodlane</t>
  </si>
  <si>
    <t>Agency %</t>
  </si>
  <si>
    <t>Van Sciver %</t>
  </si>
  <si>
    <t>* allocation based for Van Sciver on location of each additional drop needed by program</t>
  </si>
  <si>
    <t>Initial Allocation</t>
  </si>
  <si>
    <t>Revised Allocation</t>
  </si>
  <si>
    <t>Add'l Support:</t>
  </si>
  <si>
    <t>SH to CSBG</t>
  </si>
  <si>
    <t xml:space="preserve">Revised Allocation </t>
  </si>
  <si>
    <t>22P18 (22-18)</t>
  </si>
  <si>
    <t>Revised</t>
  </si>
  <si>
    <t>Allocaton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</si>
</sst>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/>
    <xf numFmtId="0" fontId="0" fillId="0" borderId="0" xfId="0" applyAlignment="1">
      <alignment horizontal="center"/>
    </xf>
    <xf numFmtId="11" fontId="0" fillId="0" borderId="0" xfId="0" quotePrefix="1" applyNumberFormat="1"/>
    <xf numFmtId="0" fontId="0" fillId="0" borderId="0" xfId="0" quotePrefix="1"/>
    <xf numFmtId="0" fontId="0" fillId="0" borderId="1" xfId="0" applyBorder="1" applyAlignment="1">
      <alignment horizontal="center" wrapText="1"/>
    </xf>
    <xf numFmtId="16" fontId="0" fillId="0" borderId="0" xfId="0" quotePrefix="1" applyNumberFormat="1"/>
    <xf numFmtId="43" fontId="0" fillId="0" borderId="0" xfId="1" applyNumberFormat="1" applyFont="1"/>
    <xf numFmtId="43" fontId="0" fillId="0" borderId="1" xfId="1" applyNumberFormat="1" applyFont="1" applyBorder="1"/>
    <xf numFmtId="43" fontId="0" fillId="0" borderId="2" xfId="1" applyNumberFormat="1" applyFont="1" applyBorder="1"/>
    <xf numFmtId="43" fontId="0" fillId="0" borderId="0" xfId="0" applyNumberFormat="1"/>
    <xf numFmtId="43" fontId="0" fillId="0" borderId="0" xfId="1" applyNumberFormat="1" applyFont="1" applyBorder="1"/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1" applyFont="1" applyFill="1"/>
    <xf numFmtId="0" fontId="0" fillId="0" borderId="0" xfId="0" quotePrefix="1" applyFill="1" applyAlignment="1">
      <alignment horizontal="right"/>
    </xf>
    <xf numFmtId="43" fontId="0" fillId="0" borderId="1" xfId="1" applyFont="1" applyFill="1" applyBorder="1"/>
    <xf numFmtId="7" fontId="0" fillId="0" borderId="4" xfId="1" applyNumberFormat="1" applyFont="1" applyBorder="1"/>
    <xf numFmtId="7" fontId="0" fillId="0" borderId="3" xfId="1" applyNumberFormat="1" applyFont="1" applyBorder="1"/>
    <xf numFmtId="0" fontId="0" fillId="0" borderId="0" xfId="0" applyAlignment="1">
      <alignment horizontal="center"/>
    </xf>
    <xf numFmtId="164" fontId="0" fillId="0" borderId="0" xfId="2" applyNumberFormat="1" applyFont="1"/>
    <xf numFmtId="10" fontId="0" fillId="0" borderId="0" xfId="2" applyNumberFormat="1" applyFont="1"/>
    <xf numFmtId="10" fontId="0" fillId="0" borderId="0" xfId="0" applyNumberFormat="1"/>
    <xf numFmtId="10" fontId="0" fillId="0" borderId="3" xfId="0" applyNumberFormat="1" applyBorder="1"/>
    <xf numFmtId="164" fontId="0" fillId="0" borderId="3" xfId="0" applyNumberFormat="1" applyBorder="1"/>
    <xf numFmtId="0" fontId="0" fillId="0" borderId="0" xfId="0" applyBorder="1" applyAlignment="1">
      <alignment horizontal="center" wrapText="1"/>
    </xf>
    <xf numFmtId="2" fontId="0" fillId="0" borderId="0" xfId="0" applyNumberFormat="1"/>
    <xf numFmtId="0" fontId="0" fillId="0" borderId="0" xfId="0" applyFill="1" applyBorder="1" applyAlignment="1">
      <alignment horizontal="center" wrapText="1"/>
    </xf>
    <xf numFmtId="9" fontId="0" fillId="0" borderId="0" xfId="0" applyNumberFormat="1"/>
    <xf numFmtId="0" fontId="0" fillId="2" borderId="0" xfId="0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2" borderId="0" xfId="0" applyFill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4" fontId="0" fillId="0" borderId="1" xfId="0" applyNumberFormat="1" applyBorder="1"/>
    <xf numFmtId="0" fontId="0" fillId="0" borderId="0" xfId="0" applyAlignment="1">
      <alignment horizontal="center" wrapText="1"/>
    </xf>
    <xf numFmtId="0" fontId="2" fillId="0" borderId="0" xfId="0" applyFont="1"/>
    <xf numFmtId="10" fontId="2" fillId="0" borderId="0" xfId="2" applyNumberFormat="1" applyFont="1"/>
    <xf numFmtId="10" fontId="2" fillId="0" borderId="3" xfId="0" applyNumberFormat="1" applyFont="1" applyBorder="1"/>
    <xf numFmtId="17" fontId="0" fillId="0" borderId="0" xfId="0" quotePrefix="1" applyNumberFormat="1" applyAlignment="1">
      <alignment horizontal="right"/>
    </xf>
    <xf numFmtId="7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Alignment="1">
      <alignment horizontal="center"/>
    </xf>
    <xf numFmtId="43" fontId="0" fillId="0" borderId="3" xfId="1" applyNumberFormat="1" applyFont="1" applyBorder="1"/>
    <xf numFmtId="0" fontId="0" fillId="0" borderId="5" xfId="0" applyFill="1" applyBorder="1" applyAlignment="1">
      <alignment horizontal="center" wrapText="1"/>
    </xf>
    <xf numFmtId="7" fontId="2" fillId="0" borderId="3" xfId="1" applyNumberFormat="1" applyFont="1" applyBorder="1"/>
    <xf numFmtId="0" fontId="4" fillId="0" borderId="1" xfId="0" applyFont="1" applyBorder="1" applyAlignment="1">
      <alignment horizontal="center" wrapText="1"/>
    </xf>
    <xf numFmtId="43" fontId="0" fillId="0" borderId="0" xfId="0" applyNumberFormat="1" applyBorder="1"/>
    <xf numFmtId="0" fontId="0" fillId="0" borderId="1" xfId="0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74ED-CD2D-4875-8011-BAD3746D1141}">
  <dimension ref="A1:F18"/>
  <sheetViews>
    <sheetView workbookViewId="0">
      <selection activeCell="E24" sqref="E24"/>
    </sheetView>
  </sheetViews>
  <sheetFormatPr defaultRowHeight="15" x14ac:dyDescent="0.25"/>
  <cols>
    <col min="1" max="1" width="21.85546875" bestFit="1" customWidth="1"/>
    <col min="2" max="2" width="9.140625" style="2"/>
    <col min="3" max="3" width="11.85546875" style="1" bestFit="1" customWidth="1"/>
    <col min="4" max="4" width="11" style="1" bestFit="1" customWidth="1"/>
    <col min="5" max="5" width="12" style="1" bestFit="1" customWidth="1"/>
  </cols>
  <sheetData>
    <row r="1" spans="1:6" x14ac:dyDescent="0.25">
      <c r="A1" s="54" t="s">
        <v>8</v>
      </c>
      <c r="B1" s="54"/>
      <c r="C1" s="54"/>
      <c r="D1" s="54"/>
      <c r="E1" s="54"/>
    </row>
    <row r="2" spans="1:6" x14ac:dyDescent="0.25">
      <c r="A2" s="54" t="s">
        <v>9</v>
      </c>
      <c r="B2" s="54"/>
      <c r="C2" s="54"/>
      <c r="D2" s="54"/>
      <c r="E2" s="54"/>
    </row>
    <row r="5" spans="1:6" x14ac:dyDescent="0.25">
      <c r="C5" s="1" t="s">
        <v>6</v>
      </c>
      <c r="D5" s="1" t="s">
        <v>6</v>
      </c>
    </row>
    <row r="6" spans="1:6" ht="30" x14ac:dyDescent="0.25">
      <c r="A6" s="3" t="s">
        <v>0</v>
      </c>
      <c r="B6" s="4" t="s">
        <v>2</v>
      </c>
      <c r="C6" s="5" t="s">
        <v>3</v>
      </c>
      <c r="D6" s="5" t="s">
        <v>4</v>
      </c>
      <c r="E6" s="6" t="s">
        <v>5</v>
      </c>
    </row>
    <row r="7" spans="1:6" x14ac:dyDescent="0.25">
      <c r="A7" s="17" t="s">
        <v>1</v>
      </c>
      <c r="B7" s="18">
        <v>61838</v>
      </c>
      <c r="C7" s="19">
        <v>10020</v>
      </c>
      <c r="D7" s="19">
        <f>889.14*4+473.04</f>
        <v>4029.6</v>
      </c>
      <c r="E7" s="19">
        <f>+C7-D7</f>
        <v>5990.4</v>
      </c>
    </row>
    <row r="8" spans="1:6" x14ac:dyDescent="0.25">
      <c r="A8" s="17" t="s">
        <v>1</v>
      </c>
      <c r="B8" s="18">
        <v>62649</v>
      </c>
      <c r="C8" s="19">
        <v>3406.76</v>
      </c>
      <c r="D8" s="19">
        <v>3731.4</v>
      </c>
      <c r="E8" s="19">
        <f t="shared" ref="E8:E15" si="0">+C8-D8</f>
        <v>-324.63999999999987</v>
      </c>
    </row>
    <row r="9" spans="1:6" x14ac:dyDescent="0.25">
      <c r="A9" s="17" t="s">
        <v>1</v>
      </c>
      <c r="B9" s="18">
        <v>62090</v>
      </c>
      <c r="C9" s="19">
        <v>2181.89</v>
      </c>
      <c r="D9" s="19">
        <v>2952.03</v>
      </c>
      <c r="E9" s="19">
        <f t="shared" si="0"/>
        <v>-770.14000000000033</v>
      </c>
    </row>
    <row r="10" spans="1:6" x14ac:dyDescent="0.25">
      <c r="A10" s="17" t="s">
        <v>1</v>
      </c>
      <c r="B10" s="18" t="s">
        <v>7</v>
      </c>
      <c r="C10" s="19">
        <v>8212.5</v>
      </c>
      <c r="D10" s="19">
        <f>1111.43*4+591.3</f>
        <v>5037.0200000000004</v>
      </c>
      <c r="E10" s="19">
        <f t="shared" si="0"/>
        <v>3175.4799999999996</v>
      </c>
    </row>
    <row r="11" spans="1:6" x14ac:dyDescent="0.25">
      <c r="A11" s="17" t="s">
        <v>10</v>
      </c>
      <c r="B11" s="18">
        <v>1</v>
      </c>
      <c r="C11" s="19">
        <v>80000</v>
      </c>
      <c r="D11" s="19">
        <f>8120*4+4320</f>
        <v>36800</v>
      </c>
      <c r="E11" s="19">
        <f t="shared" si="0"/>
        <v>43200</v>
      </c>
    </row>
    <row r="12" spans="1:6" x14ac:dyDescent="0.25">
      <c r="A12" s="17" t="s">
        <v>11</v>
      </c>
      <c r="B12" s="20" t="s">
        <v>12</v>
      </c>
      <c r="C12" s="19">
        <v>18060.45</v>
      </c>
      <c r="D12" s="19">
        <f>+Staples!P10</f>
        <v>14468.01</v>
      </c>
      <c r="E12" s="19">
        <f t="shared" si="0"/>
        <v>3592.4400000000005</v>
      </c>
      <c r="F12" s="50"/>
    </row>
    <row r="13" spans="1:6" x14ac:dyDescent="0.25">
      <c r="A13" s="17" t="s">
        <v>13</v>
      </c>
      <c r="B13" s="20" t="s">
        <v>14</v>
      </c>
      <c r="C13" s="19">
        <v>12278.73</v>
      </c>
      <c r="D13" s="19">
        <f>2256.55*4+1200.53</f>
        <v>10226.730000000001</v>
      </c>
      <c r="E13" s="19">
        <f t="shared" si="0"/>
        <v>2051.9999999999982</v>
      </c>
    </row>
    <row r="14" spans="1:6" x14ac:dyDescent="0.25">
      <c r="A14" s="17" t="s">
        <v>13</v>
      </c>
      <c r="B14" s="20" t="s">
        <v>15</v>
      </c>
      <c r="C14" s="19">
        <v>6317.76</v>
      </c>
      <c r="D14" s="19">
        <v>5261.95</v>
      </c>
      <c r="E14" s="19">
        <f t="shared" si="0"/>
        <v>1055.8100000000004</v>
      </c>
    </row>
    <row r="15" spans="1:6" x14ac:dyDescent="0.25">
      <c r="A15" s="17" t="s">
        <v>13</v>
      </c>
      <c r="B15" s="20" t="s">
        <v>16</v>
      </c>
      <c r="C15" s="21">
        <v>12631.66</v>
      </c>
      <c r="D15" s="21">
        <f>2321.41*4+1235.03</f>
        <v>10520.67</v>
      </c>
      <c r="E15" s="21">
        <f t="shared" si="0"/>
        <v>2110.9899999999998</v>
      </c>
    </row>
    <row r="17" spans="1:5" ht="15.75" thickBot="1" x14ac:dyDescent="0.3">
      <c r="A17" t="s">
        <v>17</v>
      </c>
      <c r="C17" s="22">
        <f>SUM(C7:C16)</f>
        <v>153109.75</v>
      </c>
      <c r="D17" s="22">
        <f>SUM(D7:D16)</f>
        <v>93027.409999999989</v>
      </c>
      <c r="E17" s="22">
        <f>SUM(E7:E16)</f>
        <v>60082.34</v>
      </c>
    </row>
    <row r="18" spans="1:5" ht="15.75" thickTop="1" x14ac:dyDescent="0.25"/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D05F-B0B3-4642-BBA2-FA70EF4BE09F}">
  <dimension ref="A1:J33"/>
  <sheetViews>
    <sheetView workbookViewId="0">
      <selection activeCell="L33" sqref="L33"/>
    </sheetView>
  </sheetViews>
  <sheetFormatPr defaultRowHeight="15" x14ac:dyDescent="0.25"/>
  <cols>
    <col min="1" max="1" width="19.5703125" bestFit="1" customWidth="1"/>
    <col min="2" max="2" width="10.5703125" customWidth="1"/>
    <col min="3" max="3" width="10.85546875" hidden="1" customWidth="1"/>
    <col min="4" max="5" width="0" hidden="1" customWidth="1"/>
    <col min="6" max="6" width="11.28515625" hidden="1" customWidth="1"/>
    <col min="8" max="8" width="10.85546875" bestFit="1" customWidth="1"/>
  </cols>
  <sheetData>
    <row r="1" spans="1:10" x14ac:dyDescent="0.25">
      <c r="A1" s="54" t="s">
        <v>49</v>
      </c>
      <c r="B1" s="54"/>
      <c r="C1" s="54"/>
      <c r="F1" s="34" t="s">
        <v>148</v>
      </c>
    </row>
    <row r="2" spans="1:10" x14ac:dyDescent="0.25">
      <c r="A2" s="56" t="s">
        <v>15</v>
      </c>
      <c r="B2" s="56"/>
      <c r="C2" s="56"/>
      <c r="F2" t="s">
        <v>147</v>
      </c>
      <c r="J2" t="s">
        <v>150</v>
      </c>
    </row>
    <row r="3" spans="1:10" ht="30" x14ac:dyDescent="0.25">
      <c r="A3" s="4" t="s">
        <v>18</v>
      </c>
      <c r="B3" s="10" t="s">
        <v>160</v>
      </c>
      <c r="C3" s="10" t="s">
        <v>164</v>
      </c>
      <c r="F3" t="s">
        <v>145</v>
      </c>
      <c r="G3" t="s">
        <v>149</v>
      </c>
      <c r="H3" s="46" t="s">
        <v>161</v>
      </c>
    </row>
    <row r="4" spans="1:10" x14ac:dyDescent="0.25">
      <c r="A4" s="8" t="s">
        <v>19</v>
      </c>
      <c r="B4" s="12">
        <v>0</v>
      </c>
      <c r="C4" s="12">
        <v>1128.07</v>
      </c>
      <c r="D4" s="26">
        <f>+C4/$B$30</f>
        <v>9.8616137774280965E-2</v>
      </c>
      <c r="E4" s="15"/>
      <c r="F4" s="15">
        <f>-C4</f>
        <v>-1128.07</v>
      </c>
      <c r="G4" s="27">
        <v>0.10150008996041741</v>
      </c>
      <c r="H4" s="51">
        <f>+G4*$B$30</f>
        <v>1161.0595290572148</v>
      </c>
    </row>
    <row r="5" spans="1:10" x14ac:dyDescent="0.25">
      <c r="A5" s="9" t="s">
        <v>20</v>
      </c>
      <c r="B5" s="12">
        <v>0</v>
      </c>
      <c r="C5" s="12">
        <v>1128.07</v>
      </c>
      <c r="D5" s="26">
        <f>+C5/$B$30</f>
        <v>9.8616137774280965E-2</v>
      </c>
      <c r="E5" s="15"/>
      <c r="F5" s="15">
        <f>-C5</f>
        <v>-1128.07</v>
      </c>
      <c r="G5" s="27">
        <v>0.10150008996041741</v>
      </c>
      <c r="H5" s="51">
        <f>+G5*$B$30</f>
        <v>1161.0595290572148</v>
      </c>
    </row>
    <row r="6" spans="1:10" x14ac:dyDescent="0.25">
      <c r="A6" s="9" t="s">
        <v>21</v>
      </c>
      <c r="B6" s="12">
        <v>0</v>
      </c>
      <c r="C6" s="12">
        <v>1128.07</v>
      </c>
      <c r="D6" s="26">
        <f>+C6/$B$30</f>
        <v>9.8616137774280965E-2</v>
      </c>
      <c r="E6" s="15"/>
      <c r="F6" s="15">
        <f>-C6</f>
        <v>-1128.07</v>
      </c>
      <c r="G6" s="27">
        <v>0.10150008996041741</v>
      </c>
      <c r="H6" s="51">
        <f>+G6*$B$30</f>
        <v>1161.0595290572148</v>
      </c>
    </row>
    <row r="7" spans="1:10" x14ac:dyDescent="0.25">
      <c r="A7" s="9" t="s">
        <v>22</v>
      </c>
      <c r="B7" s="12">
        <v>0</v>
      </c>
      <c r="C7" s="12">
        <v>1128.07</v>
      </c>
      <c r="D7" s="26">
        <f>+C7/$B$30</f>
        <v>9.8616137774280965E-2</v>
      </c>
      <c r="E7" s="15"/>
      <c r="F7" s="15">
        <f>-C7</f>
        <v>-1128.07</v>
      </c>
      <c r="G7" s="27">
        <v>0.10150008996041741</v>
      </c>
      <c r="H7" s="51">
        <f>+G7*$B$30</f>
        <v>1161.0595290572148</v>
      </c>
    </row>
    <row r="8" spans="1:10" x14ac:dyDescent="0.25">
      <c r="A8" t="s">
        <v>23</v>
      </c>
      <c r="B8" s="16">
        <v>0</v>
      </c>
      <c r="C8" s="12">
        <v>600.16</v>
      </c>
      <c r="D8" s="26">
        <f>+C8/$B$30</f>
        <v>5.2466124661246609E-2</v>
      </c>
      <c r="E8" s="15"/>
      <c r="F8" s="15">
        <f>-C8</f>
        <v>-600.16</v>
      </c>
      <c r="G8" s="27">
        <v>5.4000089960417406E-2</v>
      </c>
      <c r="H8" s="51">
        <f>+G8*$B$30</f>
        <v>617.70702905721475</v>
      </c>
    </row>
    <row r="9" spans="1:10" x14ac:dyDescent="0.25">
      <c r="A9" t="s">
        <v>39</v>
      </c>
      <c r="B9" s="13">
        <v>6317.76</v>
      </c>
      <c r="C9" s="13">
        <v>0</v>
      </c>
      <c r="E9" s="15"/>
      <c r="G9" s="27"/>
    </row>
    <row r="10" spans="1:10" x14ac:dyDescent="0.25">
      <c r="A10" t="s">
        <v>24</v>
      </c>
      <c r="B10" s="14">
        <f>SUM(B4:B9)</f>
        <v>6317.76</v>
      </c>
      <c r="C10" s="14">
        <f>SUM(C4:C9)</f>
        <v>5112.4399999999996</v>
      </c>
      <c r="G10" s="27"/>
      <c r="H10" s="14">
        <f>SUM(H4:H9)</f>
        <v>5261.945145286074</v>
      </c>
    </row>
    <row r="11" spans="1:10" x14ac:dyDescent="0.25">
      <c r="B11" s="12"/>
      <c r="C11" s="12"/>
      <c r="G11" s="27"/>
    </row>
    <row r="12" spans="1:10" x14ac:dyDescent="0.25">
      <c r="A12" t="s">
        <v>25</v>
      </c>
      <c r="B12" s="12">
        <v>0</v>
      </c>
      <c r="C12" s="12">
        <v>147.61816995369534</v>
      </c>
      <c r="D12" s="26">
        <f t="shared" ref="D12:D26" si="0">+C12/$B$30</f>
        <v>1.2904814227965324E-2</v>
      </c>
      <c r="F12" s="15">
        <f>-C12</f>
        <v>-147.61816995369534</v>
      </c>
      <c r="G12" s="27">
        <v>1.2599856063332132E-2</v>
      </c>
      <c r="H12" s="51">
        <f t="shared" ref="H12:H26" si="1">+G12*$B$30</f>
        <v>144.12975350845628</v>
      </c>
    </row>
    <row r="13" spans="1:10" x14ac:dyDescent="0.25">
      <c r="A13" t="s">
        <v>26</v>
      </c>
      <c r="B13" s="12">
        <v>0</v>
      </c>
      <c r="C13" s="12">
        <v>86.699062261823357</v>
      </c>
      <c r="D13" s="26">
        <f t="shared" si="0"/>
        <v>7.5792518805685247E-3</v>
      </c>
      <c r="F13" s="15">
        <f t="shared" ref="F13:F26" si="2">-C13</f>
        <v>-86.699062261823357</v>
      </c>
      <c r="G13" s="27">
        <v>7.4001439366678653E-3</v>
      </c>
      <c r="H13" s="51">
        <f t="shared" si="1"/>
        <v>84.650246491543712</v>
      </c>
    </row>
    <row r="14" spans="1:10" x14ac:dyDescent="0.25">
      <c r="A14" t="s">
        <v>27</v>
      </c>
      <c r="B14" s="12">
        <v>4587.04</v>
      </c>
      <c r="C14" s="12">
        <f>1405.90339329311-0.01</f>
        <v>1405.89339329311</v>
      </c>
      <c r="D14" s="26">
        <f t="shared" si="0"/>
        <v>0.12290352244891249</v>
      </c>
      <c r="F14" s="15">
        <f t="shared" si="2"/>
        <v>-1405.89339329311</v>
      </c>
      <c r="G14" s="27">
        <v>0.11999999999999998</v>
      </c>
      <c r="H14" s="51">
        <f t="shared" si="1"/>
        <v>1372.6799999999998</v>
      </c>
    </row>
    <row r="15" spans="1:10" x14ac:dyDescent="0.25">
      <c r="A15" t="s">
        <v>28</v>
      </c>
      <c r="B15" s="12">
        <v>0</v>
      </c>
      <c r="C15" s="12">
        <v>1523.0620094008714</v>
      </c>
      <c r="D15" s="26">
        <f t="shared" si="0"/>
        <v>0.13314642970547</v>
      </c>
      <c r="F15" s="15">
        <f t="shared" si="2"/>
        <v>-1523.0620094008714</v>
      </c>
      <c r="G15" s="27">
        <v>0.12999999999999998</v>
      </c>
      <c r="H15" s="51">
        <f t="shared" si="1"/>
        <v>1487.0699999999997</v>
      </c>
    </row>
    <row r="16" spans="1:10" x14ac:dyDescent="0.25">
      <c r="A16" t="s">
        <v>40</v>
      </c>
      <c r="B16" s="12">
        <v>60.63</v>
      </c>
      <c r="C16" s="12">
        <v>0</v>
      </c>
      <c r="D16" s="26"/>
      <c r="F16" s="15">
        <f t="shared" si="2"/>
        <v>0</v>
      </c>
      <c r="G16" s="27"/>
      <c r="H16" s="51"/>
    </row>
    <row r="17" spans="1:8" x14ac:dyDescent="0.25">
      <c r="A17" s="9" t="s">
        <v>41</v>
      </c>
      <c r="B17" s="12">
        <v>53.76</v>
      </c>
      <c r="C17" s="12">
        <v>0</v>
      </c>
      <c r="D17" s="26"/>
      <c r="F17" s="15">
        <f t="shared" si="2"/>
        <v>0</v>
      </c>
      <c r="G17" s="27"/>
      <c r="H17" s="51"/>
    </row>
    <row r="18" spans="1:8" x14ac:dyDescent="0.25">
      <c r="A18" t="s">
        <v>29</v>
      </c>
      <c r="B18" s="12">
        <v>90.37</v>
      </c>
      <c r="C18" s="12">
        <v>292.89999999999998</v>
      </c>
      <c r="D18" s="26">
        <f t="shared" si="0"/>
        <v>2.5605385086108923E-2</v>
      </c>
      <c r="F18" s="15">
        <f t="shared" si="2"/>
        <v>-292.89999999999998</v>
      </c>
      <c r="G18" s="27">
        <v>2.4999999999999994E-2</v>
      </c>
      <c r="H18" s="51">
        <f t="shared" si="1"/>
        <v>285.97499999999991</v>
      </c>
    </row>
    <row r="19" spans="1:8" x14ac:dyDescent="0.25">
      <c r="A19" s="9" t="s">
        <v>30</v>
      </c>
      <c r="B19" s="12">
        <v>45.76</v>
      </c>
      <c r="C19" s="12">
        <v>292.89999999999998</v>
      </c>
      <c r="D19" s="26">
        <f t="shared" si="0"/>
        <v>2.5605385086108923E-2</v>
      </c>
      <c r="F19" s="15">
        <f t="shared" si="2"/>
        <v>-292.89999999999998</v>
      </c>
      <c r="G19" s="27">
        <v>2.4999999999999994E-2</v>
      </c>
      <c r="H19" s="51">
        <f t="shared" si="1"/>
        <v>285.97499999999991</v>
      </c>
    </row>
    <row r="20" spans="1:8" x14ac:dyDescent="0.25">
      <c r="A20" s="9" t="s">
        <v>38</v>
      </c>
      <c r="B20" s="12">
        <v>0</v>
      </c>
      <c r="C20" s="12">
        <v>0</v>
      </c>
      <c r="D20" s="26"/>
      <c r="F20" s="15">
        <f t="shared" si="2"/>
        <v>0</v>
      </c>
      <c r="G20" s="27"/>
      <c r="H20" s="51"/>
    </row>
    <row r="21" spans="1:8" x14ac:dyDescent="0.25">
      <c r="A21" t="s">
        <v>31</v>
      </c>
      <c r="B21" s="12">
        <v>0</v>
      </c>
      <c r="C21" s="12">
        <v>421.76996402413278</v>
      </c>
      <c r="D21" s="26">
        <f t="shared" si="0"/>
        <v>3.6871226857604057E-2</v>
      </c>
      <c r="F21" s="15">
        <f t="shared" si="2"/>
        <v>-421.76996402413278</v>
      </c>
      <c r="G21" s="27">
        <v>3.5999910039582576E-2</v>
      </c>
      <c r="H21" s="51">
        <f t="shared" si="1"/>
        <v>411.80297094278507</v>
      </c>
    </row>
    <row r="22" spans="1:8" x14ac:dyDescent="0.25">
      <c r="A22" t="s">
        <v>32</v>
      </c>
      <c r="B22" s="12">
        <v>0</v>
      </c>
      <c r="C22" s="12">
        <v>485.03414117300156</v>
      </c>
      <c r="D22" s="26">
        <f t="shared" si="0"/>
        <v>4.2401795714048569E-2</v>
      </c>
      <c r="F22" s="15">
        <f t="shared" si="2"/>
        <v>-485.03414117300156</v>
      </c>
      <c r="G22" s="27">
        <v>4.1399784094998192E-2</v>
      </c>
      <c r="H22" s="51">
        <f t="shared" si="1"/>
        <v>473.57213026268431</v>
      </c>
    </row>
    <row r="23" spans="1:8" x14ac:dyDescent="0.25">
      <c r="A23" t="s">
        <v>33</v>
      </c>
      <c r="B23" s="12">
        <v>0</v>
      </c>
      <c r="C23" s="12">
        <v>717.01157375052787</v>
      </c>
      <c r="D23" s="26">
        <f t="shared" si="0"/>
        <v>6.2681316002319076E-2</v>
      </c>
      <c r="F23" s="15">
        <f t="shared" si="2"/>
        <v>-717.01157375052787</v>
      </c>
      <c r="G23" s="27">
        <v>6.1200071968333922E-2</v>
      </c>
      <c r="H23" s="51">
        <f t="shared" si="1"/>
        <v>700.06762324577176</v>
      </c>
    </row>
    <row r="24" spans="1:8" x14ac:dyDescent="0.25">
      <c r="A24" t="s">
        <v>34</v>
      </c>
      <c r="B24" s="12">
        <v>0</v>
      </c>
      <c r="C24" s="12">
        <v>485.03414117300156</v>
      </c>
      <c r="D24" s="26">
        <f t="shared" si="0"/>
        <v>4.2401795714048569E-2</v>
      </c>
      <c r="F24" s="15">
        <f t="shared" si="2"/>
        <v>-485.03414117300156</v>
      </c>
      <c r="G24" s="27">
        <v>4.1399784094998192E-2</v>
      </c>
      <c r="H24" s="51">
        <f t="shared" si="1"/>
        <v>473.57213026268431</v>
      </c>
    </row>
    <row r="25" spans="1:8" x14ac:dyDescent="0.25">
      <c r="A25" s="11" t="s">
        <v>35</v>
      </c>
      <c r="B25" s="12">
        <v>191.03</v>
      </c>
      <c r="C25" s="12">
        <v>351.47584832327806</v>
      </c>
      <c r="D25" s="26">
        <f t="shared" si="0"/>
        <v>3.0726099162800773E-2</v>
      </c>
      <c r="F25" s="15">
        <f t="shared" si="2"/>
        <v>-351.47584832327806</v>
      </c>
      <c r="G25" s="27">
        <v>2.9999999999999995E-2</v>
      </c>
      <c r="H25" s="51">
        <f t="shared" si="1"/>
        <v>343.16999999999996</v>
      </c>
    </row>
    <row r="26" spans="1:8" x14ac:dyDescent="0.25">
      <c r="A26" s="9" t="s">
        <v>36</v>
      </c>
      <c r="B26" s="16">
        <v>0</v>
      </c>
      <c r="C26" s="16">
        <v>117.15861610775934</v>
      </c>
      <c r="D26" s="26">
        <f t="shared" si="0"/>
        <v>1.0242033054266924E-2</v>
      </c>
      <c r="F26" s="15">
        <f t="shared" si="2"/>
        <v>-117.15861610775934</v>
      </c>
      <c r="G26" s="27">
        <v>9.9999999999999985E-3</v>
      </c>
      <c r="H26" s="51">
        <f t="shared" si="1"/>
        <v>114.38999999999999</v>
      </c>
    </row>
    <row r="27" spans="1:8" x14ac:dyDescent="0.25">
      <c r="A27" s="9" t="s">
        <v>42</v>
      </c>
      <c r="B27" s="16">
        <v>30.89</v>
      </c>
      <c r="C27" s="16">
        <v>0</v>
      </c>
      <c r="D27" s="26"/>
    </row>
    <row r="28" spans="1:8" x14ac:dyDescent="0.25">
      <c r="A28" s="9" t="s">
        <v>43</v>
      </c>
      <c r="B28" s="16">
        <v>30.89</v>
      </c>
      <c r="C28" s="16">
        <v>0</v>
      </c>
      <c r="D28" s="26"/>
    </row>
    <row r="29" spans="1:8" x14ac:dyDescent="0.25">
      <c r="A29" s="9" t="s">
        <v>44</v>
      </c>
      <c r="B29" s="16">
        <v>30.87</v>
      </c>
      <c r="C29" s="16">
        <v>0</v>
      </c>
      <c r="D29" s="26"/>
    </row>
    <row r="30" spans="1:8" ht="15.75" thickBot="1" x14ac:dyDescent="0.3">
      <c r="A30" s="7" t="s">
        <v>37</v>
      </c>
      <c r="B30" s="23">
        <f>SUM(B10:B29)</f>
        <v>11439</v>
      </c>
      <c r="C30" s="23">
        <f>SUM(C10:C29)</f>
        <v>11438.996919461202</v>
      </c>
      <c r="D30" s="27">
        <f>SUM(D4:D29)</f>
        <v>0.99999973069859249</v>
      </c>
      <c r="F30" s="15">
        <f>SUM(F4:F29)</f>
        <v>-11438.996919461202</v>
      </c>
      <c r="G30" s="27">
        <f>SUM(G4:G29)</f>
        <v>1</v>
      </c>
      <c r="H30" s="23">
        <f>SUM(H10:H29)</f>
        <v>11438.999999999998</v>
      </c>
    </row>
    <row r="31" spans="1:8" ht="15.75" thickTop="1" x14ac:dyDescent="0.25"/>
    <row r="32" spans="1:8" x14ac:dyDescent="0.25">
      <c r="B32" s="15"/>
      <c r="C32" s="15"/>
    </row>
    <row r="33" spans="3:3" x14ac:dyDescent="0.25">
      <c r="C33" s="15"/>
    </row>
  </sheetData>
  <mergeCells count="2">
    <mergeCell ref="A1:C1"/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5B64-F5F6-47A5-BB45-2B4AC6251981}">
  <dimension ref="A1:E33"/>
  <sheetViews>
    <sheetView tabSelected="1" workbookViewId="0">
      <selection activeCell="G33" sqref="G33"/>
    </sheetView>
  </sheetViews>
  <sheetFormatPr defaultRowHeight="15" x14ac:dyDescent="0.25"/>
  <cols>
    <col min="1" max="1" width="19.5703125" bestFit="1" customWidth="1"/>
    <col min="2" max="2" width="10.7109375" customWidth="1"/>
    <col min="3" max="3" width="10.85546875" bestFit="1" customWidth="1"/>
  </cols>
  <sheetData>
    <row r="1" spans="1:5" x14ac:dyDescent="0.25">
      <c r="A1" s="54" t="s">
        <v>49</v>
      </c>
      <c r="B1" s="54"/>
      <c r="C1" s="54"/>
    </row>
    <row r="2" spans="1:5" x14ac:dyDescent="0.25">
      <c r="A2" s="56" t="s">
        <v>50</v>
      </c>
      <c r="B2" s="56"/>
      <c r="C2" s="56"/>
    </row>
    <row r="3" spans="1:5" ht="30" x14ac:dyDescent="0.25">
      <c r="A3" s="4" t="s">
        <v>18</v>
      </c>
      <c r="B3" s="10" t="s">
        <v>160</v>
      </c>
      <c r="C3" s="10" t="s">
        <v>164</v>
      </c>
    </row>
    <row r="4" spans="1:5" x14ac:dyDescent="0.25">
      <c r="A4" s="8" t="s">
        <v>19</v>
      </c>
      <c r="B4" s="12">
        <v>0</v>
      </c>
      <c r="C4" s="12">
        <v>2321.41</v>
      </c>
      <c r="D4" s="26">
        <f>+C4/$B$30</f>
        <v>0.10150015303222419</v>
      </c>
      <c r="E4" s="15"/>
    </row>
    <row r="5" spans="1:5" x14ac:dyDescent="0.25">
      <c r="A5" s="9" t="s">
        <v>20</v>
      </c>
      <c r="B5" s="12">
        <v>0</v>
      </c>
      <c r="C5" s="12">
        <v>2321.41</v>
      </c>
      <c r="D5" s="26">
        <f>+C5/$B$30</f>
        <v>0.10150015303222419</v>
      </c>
      <c r="E5" s="15"/>
    </row>
    <row r="6" spans="1:5" x14ac:dyDescent="0.25">
      <c r="A6" s="9" t="s">
        <v>21</v>
      </c>
      <c r="B6" s="12">
        <v>0</v>
      </c>
      <c r="C6" s="12">
        <v>2321.41</v>
      </c>
      <c r="D6" s="26">
        <f>+C6/$B$30</f>
        <v>0.10150015303222419</v>
      </c>
      <c r="E6" s="15"/>
    </row>
    <row r="7" spans="1:5" x14ac:dyDescent="0.25">
      <c r="A7" s="9" t="s">
        <v>22</v>
      </c>
      <c r="B7" s="12">
        <v>0</v>
      </c>
      <c r="C7" s="12">
        <v>2321.41</v>
      </c>
      <c r="D7" s="26">
        <f>+C7/$B$30</f>
        <v>0.10150015303222419</v>
      </c>
      <c r="E7" s="15"/>
    </row>
    <row r="8" spans="1:5" x14ac:dyDescent="0.25">
      <c r="A8" t="s">
        <v>23</v>
      </c>
      <c r="B8" s="16">
        <v>0</v>
      </c>
      <c r="C8" s="12">
        <v>1235.03</v>
      </c>
      <c r="D8" s="26">
        <f>+C8/$B$30</f>
        <v>5.3999825106029457E-2</v>
      </c>
      <c r="E8" s="15"/>
    </row>
    <row r="9" spans="1:5" x14ac:dyDescent="0.25">
      <c r="A9" t="s">
        <v>39</v>
      </c>
      <c r="B9" s="13">
        <v>12631.66</v>
      </c>
      <c r="C9" s="13">
        <v>0</v>
      </c>
      <c r="E9" s="15"/>
    </row>
    <row r="10" spans="1:5" x14ac:dyDescent="0.25">
      <c r="A10" t="s">
        <v>24</v>
      </c>
      <c r="B10" s="14">
        <f>SUM(B4:B9)</f>
        <v>12631.66</v>
      </c>
      <c r="C10" s="14">
        <f>SUM(C4:C9)</f>
        <v>10520.67</v>
      </c>
    </row>
    <row r="11" spans="1:5" x14ac:dyDescent="0.25">
      <c r="B11" s="12"/>
      <c r="C11" s="12"/>
    </row>
    <row r="12" spans="1:5" x14ac:dyDescent="0.25">
      <c r="A12" t="s">
        <v>25</v>
      </c>
      <c r="B12" s="12">
        <v>0</v>
      </c>
      <c r="C12" s="12">
        <v>288.17</v>
      </c>
      <c r="D12" s="26">
        <f t="shared" ref="D12:D26" si="0">+C12/$B$30</f>
        <v>1.2599798871933889E-2</v>
      </c>
    </row>
    <row r="13" spans="1:5" x14ac:dyDescent="0.25">
      <c r="A13" t="s">
        <v>26</v>
      </c>
      <c r="B13" s="12">
        <v>0</v>
      </c>
      <c r="C13" s="12">
        <v>169.25</v>
      </c>
      <c r="D13" s="26">
        <f t="shared" si="0"/>
        <v>7.4002011280661084E-3</v>
      </c>
    </row>
    <row r="14" spans="1:5" x14ac:dyDescent="0.25">
      <c r="A14" t="s">
        <v>27</v>
      </c>
      <c r="B14" s="12">
        <v>9171.27</v>
      </c>
      <c r="C14" s="12">
        <v>2744.52</v>
      </c>
      <c r="D14" s="26">
        <f t="shared" si="0"/>
        <v>0.11999999999999998</v>
      </c>
    </row>
    <row r="15" spans="1:5" x14ac:dyDescent="0.25">
      <c r="A15" t="s">
        <v>28</v>
      </c>
      <c r="B15" s="12">
        <v>0</v>
      </c>
      <c r="C15" s="12">
        <f>2973.23-0.03</f>
        <v>2973.2</v>
      </c>
      <c r="D15" s="26">
        <f t="shared" si="0"/>
        <v>0.12999868829522099</v>
      </c>
    </row>
    <row r="16" spans="1:5" x14ac:dyDescent="0.25">
      <c r="A16" t="s">
        <v>40</v>
      </c>
      <c r="B16" s="12">
        <v>121.22</v>
      </c>
      <c r="C16" s="12">
        <v>0</v>
      </c>
      <c r="D16" s="26"/>
    </row>
    <row r="17" spans="1:4" x14ac:dyDescent="0.25">
      <c r="A17" s="9" t="s">
        <v>41</v>
      </c>
      <c r="B17" s="12">
        <v>107.49</v>
      </c>
      <c r="C17" s="12">
        <v>0</v>
      </c>
      <c r="D17" s="26"/>
    </row>
    <row r="18" spans="1:4" x14ac:dyDescent="0.25">
      <c r="A18" t="s">
        <v>29</v>
      </c>
      <c r="B18" s="12">
        <v>180.68</v>
      </c>
      <c r="C18" s="12">
        <v>571.78</v>
      </c>
      <c r="D18" s="26">
        <f t="shared" si="0"/>
        <v>2.5000218617463158E-2</v>
      </c>
    </row>
    <row r="19" spans="1:4" x14ac:dyDescent="0.25">
      <c r="A19" s="9" t="s">
        <v>30</v>
      </c>
      <c r="B19" s="12">
        <v>91.48</v>
      </c>
      <c r="C19" s="12">
        <v>571.78</v>
      </c>
      <c r="D19" s="26">
        <f t="shared" si="0"/>
        <v>2.5000218617463158E-2</v>
      </c>
    </row>
    <row r="20" spans="1:4" x14ac:dyDescent="0.25">
      <c r="A20" s="9" t="s">
        <v>38</v>
      </c>
      <c r="B20" s="12">
        <v>0</v>
      </c>
      <c r="C20" s="12">
        <v>0</v>
      </c>
      <c r="D20" s="26"/>
    </row>
    <row r="21" spans="1:4" x14ac:dyDescent="0.25">
      <c r="A21" t="s">
        <v>31</v>
      </c>
      <c r="B21" s="12">
        <v>0</v>
      </c>
      <c r="C21" s="12">
        <v>823.36</v>
      </c>
      <c r="D21" s="26">
        <f t="shared" si="0"/>
        <v>3.6000174893970525E-2</v>
      </c>
    </row>
    <row r="22" spans="1:4" x14ac:dyDescent="0.25">
      <c r="A22" t="s">
        <v>32</v>
      </c>
      <c r="B22" s="12">
        <v>0</v>
      </c>
      <c r="C22" s="12">
        <v>946.86</v>
      </c>
      <c r="D22" s="26">
        <f t="shared" si="0"/>
        <v>4.1400026234095576E-2</v>
      </c>
    </row>
    <row r="23" spans="1:4" x14ac:dyDescent="0.25">
      <c r="A23" t="s">
        <v>33</v>
      </c>
      <c r="B23" s="12">
        <v>0</v>
      </c>
      <c r="C23" s="12">
        <v>1399.71</v>
      </c>
      <c r="D23" s="26">
        <f t="shared" si="0"/>
        <v>6.120020987276463E-2</v>
      </c>
    </row>
    <row r="24" spans="1:4" x14ac:dyDescent="0.25">
      <c r="A24" t="s">
        <v>34</v>
      </c>
      <c r="B24" s="12">
        <v>0</v>
      </c>
      <c r="C24" s="12">
        <v>946.86</v>
      </c>
      <c r="D24" s="26">
        <f t="shared" si="0"/>
        <v>4.1400026234095576E-2</v>
      </c>
    </row>
    <row r="25" spans="1:4" x14ac:dyDescent="0.25">
      <c r="A25" s="11" t="s">
        <v>35</v>
      </c>
      <c r="B25" s="12">
        <v>381.95</v>
      </c>
      <c r="C25" s="12">
        <v>686.13</v>
      </c>
      <c r="D25" s="26">
        <f t="shared" si="0"/>
        <v>2.9999999999999995E-2</v>
      </c>
    </row>
    <row r="26" spans="1:4" x14ac:dyDescent="0.25">
      <c r="A26" s="9" t="s">
        <v>36</v>
      </c>
      <c r="B26" s="16">
        <v>0</v>
      </c>
      <c r="C26" s="16">
        <v>228.71</v>
      </c>
      <c r="D26" s="26">
        <f t="shared" si="0"/>
        <v>9.9999999999999985E-3</v>
      </c>
    </row>
    <row r="27" spans="1:4" x14ac:dyDescent="0.25">
      <c r="A27" s="9" t="s">
        <v>42</v>
      </c>
      <c r="B27" s="16">
        <v>61.75</v>
      </c>
      <c r="C27" s="16">
        <v>0</v>
      </c>
      <c r="D27" s="26"/>
    </row>
    <row r="28" spans="1:4" x14ac:dyDescent="0.25">
      <c r="A28" s="9" t="s">
        <v>43</v>
      </c>
      <c r="B28" s="16">
        <v>61.75</v>
      </c>
      <c r="C28" s="16">
        <v>0</v>
      </c>
      <c r="D28" s="26"/>
    </row>
    <row r="29" spans="1:4" x14ac:dyDescent="0.25">
      <c r="A29" s="9" t="s">
        <v>44</v>
      </c>
      <c r="B29" s="16">
        <v>61.75</v>
      </c>
      <c r="C29" s="16">
        <v>0</v>
      </c>
      <c r="D29" s="26"/>
    </row>
    <row r="30" spans="1:4" ht="15.75" thickBot="1" x14ac:dyDescent="0.3">
      <c r="A30" s="7" t="s">
        <v>37</v>
      </c>
      <c r="B30" s="23">
        <f>SUM(B10:B29)</f>
        <v>22871.000000000004</v>
      </c>
      <c r="C30" s="23">
        <f>SUM(C10:C29)</f>
        <v>22871</v>
      </c>
      <c r="D30" s="28">
        <f>SUM(D4:D29)</f>
        <v>0.99999999999999989</v>
      </c>
    </row>
    <row r="31" spans="1:4" ht="15.75" thickTop="1" x14ac:dyDescent="0.25"/>
    <row r="33" spans="3:3" x14ac:dyDescent="0.25">
      <c r="C33" s="15"/>
    </row>
  </sheetData>
  <mergeCells count="2"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5A63-9971-4505-A11A-B9395E9825DF}">
  <dimension ref="A1:I28"/>
  <sheetViews>
    <sheetView workbookViewId="0">
      <selection activeCell="E31" sqref="E31"/>
    </sheetView>
  </sheetViews>
  <sheetFormatPr defaultRowHeight="15" x14ac:dyDescent="0.25"/>
  <cols>
    <col min="1" max="1" width="19.5703125" bestFit="1" customWidth="1"/>
    <col min="2" max="2" width="10.7109375" customWidth="1"/>
    <col min="3" max="3" width="10.85546875" bestFit="1" customWidth="1"/>
    <col min="6" max="6" width="9.5703125" bestFit="1" customWidth="1"/>
    <col min="7" max="7" width="9.5703125" customWidth="1"/>
    <col min="8" max="8" width="9.85546875" bestFit="1" customWidth="1"/>
    <col min="9" max="9" width="10.5703125" bestFit="1" customWidth="1"/>
  </cols>
  <sheetData>
    <row r="1" spans="1:9" x14ac:dyDescent="0.25">
      <c r="A1" s="55" t="s">
        <v>1</v>
      </c>
      <c r="B1" s="55"/>
      <c r="C1" s="55"/>
    </row>
    <row r="2" spans="1:9" ht="39" customHeight="1" x14ac:dyDescent="0.25">
      <c r="A2" s="55" t="s">
        <v>45</v>
      </c>
      <c r="B2" s="55"/>
      <c r="C2" s="55"/>
      <c r="E2" s="58" t="s">
        <v>162</v>
      </c>
      <c r="F2" s="12">
        <v>8760</v>
      </c>
      <c r="G2" s="12"/>
      <c r="H2" s="12">
        <v>4600</v>
      </c>
    </row>
    <row r="3" spans="1:9" ht="30" x14ac:dyDescent="0.25">
      <c r="A3" s="4"/>
      <c r="B3" s="10" t="s">
        <v>160</v>
      </c>
      <c r="C3" s="10" t="s">
        <v>161</v>
      </c>
      <c r="E3" t="s">
        <v>157</v>
      </c>
      <c r="F3" s="52" t="s">
        <v>18</v>
      </c>
      <c r="G3" s="46" t="s">
        <v>158</v>
      </c>
      <c r="H3" s="46" t="s">
        <v>155</v>
      </c>
      <c r="I3" s="52" t="s">
        <v>17</v>
      </c>
    </row>
    <row r="4" spans="1:9" x14ac:dyDescent="0.25">
      <c r="A4" s="8" t="s">
        <v>19</v>
      </c>
      <c r="B4" s="12">
        <v>0</v>
      </c>
      <c r="C4" s="12">
        <v>889.14</v>
      </c>
      <c r="D4" s="15"/>
      <c r="E4" s="26">
        <v>0.10150045662100457</v>
      </c>
      <c r="F4" s="15">
        <f>ROUND(+$F$2*E4,2)</f>
        <v>889.14</v>
      </c>
      <c r="G4" s="15"/>
      <c r="I4" s="15">
        <f>ROUND(SUM(F4:H4),2)</f>
        <v>889.14</v>
      </c>
    </row>
    <row r="5" spans="1:9" x14ac:dyDescent="0.25">
      <c r="A5" s="9" t="s">
        <v>20</v>
      </c>
      <c r="B5" s="12">
        <v>0</v>
      </c>
      <c r="C5" s="12">
        <v>889.14</v>
      </c>
      <c r="D5" s="15"/>
      <c r="E5" s="26">
        <v>0.10150045662100457</v>
      </c>
      <c r="F5" s="15">
        <f t="shared" ref="F5:F8" si="0">ROUND(+$F$2*E5,2)</f>
        <v>889.14</v>
      </c>
      <c r="G5" s="15"/>
      <c r="I5" s="15">
        <f t="shared" ref="I5:I8" si="1">ROUND(SUM(F5:H5),2)</f>
        <v>889.14</v>
      </c>
    </row>
    <row r="6" spans="1:9" x14ac:dyDescent="0.25">
      <c r="A6" s="9" t="s">
        <v>21</v>
      </c>
      <c r="B6" s="12">
        <v>0</v>
      </c>
      <c r="C6" s="12">
        <v>889.14</v>
      </c>
      <c r="D6" s="15"/>
      <c r="E6" s="26">
        <v>0.10150045662100457</v>
      </c>
      <c r="F6" s="15">
        <f t="shared" si="0"/>
        <v>889.14</v>
      </c>
      <c r="G6" s="15"/>
      <c r="I6" s="15">
        <f t="shared" si="1"/>
        <v>889.14</v>
      </c>
    </row>
    <row r="7" spans="1:9" x14ac:dyDescent="0.25">
      <c r="A7" s="9" t="s">
        <v>22</v>
      </c>
      <c r="B7" s="12">
        <v>0</v>
      </c>
      <c r="C7" s="12">
        <v>889.14</v>
      </c>
      <c r="D7" s="15"/>
      <c r="E7" s="26">
        <v>0.10150045662100457</v>
      </c>
      <c r="F7" s="15">
        <f t="shared" si="0"/>
        <v>889.14</v>
      </c>
      <c r="G7" s="15"/>
      <c r="I7" s="15">
        <f t="shared" si="1"/>
        <v>889.14</v>
      </c>
    </row>
    <row r="8" spans="1:9" x14ac:dyDescent="0.25">
      <c r="A8" t="s">
        <v>23</v>
      </c>
      <c r="B8" s="16">
        <v>0</v>
      </c>
      <c r="C8" s="12">
        <v>473.04</v>
      </c>
      <c r="D8" s="15"/>
      <c r="E8" s="26">
        <v>5.3999999999999992E-2</v>
      </c>
      <c r="F8" s="15">
        <f t="shared" si="0"/>
        <v>473.04</v>
      </c>
      <c r="G8" s="15"/>
      <c r="I8" s="15">
        <f t="shared" si="1"/>
        <v>473.04</v>
      </c>
    </row>
    <row r="9" spans="1:9" x14ac:dyDescent="0.25">
      <c r="A9" t="s">
        <v>39</v>
      </c>
      <c r="B9" s="13">
        <v>10020</v>
      </c>
      <c r="C9" s="13">
        <v>0</v>
      </c>
      <c r="D9" s="15"/>
      <c r="E9" s="26"/>
      <c r="F9" s="15">
        <f>+$F$2*E9</f>
        <v>0</v>
      </c>
      <c r="G9" s="15"/>
      <c r="I9" s="15">
        <f>SUM(F9:H9)</f>
        <v>0</v>
      </c>
    </row>
    <row r="10" spans="1:9" x14ac:dyDescent="0.25">
      <c r="A10" t="s">
        <v>24</v>
      </c>
      <c r="B10" s="14">
        <f>SUM(B4:B9)</f>
        <v>10020</v>
      </c>
      <c r="C10" s="14">
        <f>SUM(C4:C9)</f>
        <v>4029.6</v>
      </c>
      <c r="E10" s="26"/>
      <c r="F10" s="14">
        <f>SUM(F4:F9)</f>
        <v>4029.6</v>
      </c>
      <c r="G10" s="14"/>
      <c r="H10" s="14">
        <f t="shared" ref="H10" si="2">SUM(H4:H9)</f>
        <v>0</v>
      </c>
      <c r="I10" s="14">
        <f>SUM(I4:I9)</f>
        <v>4029.6</v>
      </c>
    </row>
    <row r="11" spans="1:9" x14ac:dyDescent="0.25">
      <c r="B11" s="12"/>
      <c r="C11" s="12"/>
      <c r="E11" s="26"/>
    </row>
    <row r="12" spans="1:9" x14ac:dyDescent="0.25">
      <c r="A12" t="s">
        <v>25</v>
      </c>
      <c r="B12" s="12">
        <v>0</v>
      </c>
      <c r="C12" s="12">
        <f>110.39+804.8</f>
        <v>915.18999999999994</v>
      </c>
      <c r="E12" s="26">
        <v>1.2599823941093935E-2</v>
      </c>
      <c r="F12" s="15">
        <f>ROUND(+$F$2*E12,2)</f>
        <v>110.37</v>
      </c>
      <c r="G12" s="26">
        <f>+H12/$H$2</f>
        <v>0.17496086956521739</v>
      </c>
      <c r="H12" s="15">
        <f>ROUND(+C12-F12,2)</f>
        <v>804.82</v>
      </c>
      <c r="I12" s="15">
        <f>+H12+F12</f>
        <v>915.19</v>
      </c>
    </row>
    <row r="13" spans="1:9" x14ac:dyDescent="0.25">
      <c r="A13" t="s">
        <v>26</v>
      </c>
      <c r="B13" s="12">
        <v>0</v>
      </c>
      <c r="C13" s="12">
        <f>64.82+572.87</f>
        <v>637.69000000000005</v>
      </c>
      <c r="E13" s="26">
        <v>7.4001250706439183E-3</v>
      </c>
      <c r="F13" s="15">
        <f>ROUND(+$F$2*E13,2)</f>
        <v>64.83</v>
      </c>
      <c r="G13" s="26">
        <f t="shared" ref="G13:G14" si="3">+H13/$H$2</f>
        <v>0.12453478260869566</v>
      </c>
      <c r="H13" s="15">
        <f>ROUND(+C13-F13,2)</f>
        <v>572.86</v>
      </c>
      <c r="I13" s="15">
        <f t="shared" ref="I13:I24" si="4">+H13+F13</f>
        <v>637.69000000000005</v>
      </c>
    </row>
    <row r="14" spans="1:9" x14ac:dyDescent="0.25">
      <c r="A14" t="s">
        <v>27</v>
      </c>
      <c r="B14" s="12">
        <v>1002</v>
      </c>
      <c r="C14" s="12">
        <f>1051.2+2554.09-113.76</f>
        <v>3491.5299999999997</v>
      </c>
      <c r="E14" s="26">
        <v>0.11999969407042713</v>
      </c>
      <c r="F14" s="15">
        <f>ROUND(+$F$2*E14,2)+0.01</f>
        <v>1051.21</v>
      </c>
      <c r="G14" s="26">
        <f t="shared" si="3"/>
        <v>0.53050434782608702</v>
      </c>
      <c r="H14" s="15">
        <f>ROUND(+C14-F14,2)</f>
        <v>2440.3200000000002</v>
      </c>
      <c r="I14" s="15">
        <f t="shared" si="4"/>
        <v>3491.53</v>
      </c>
    </row>
    <row r="15" spans="1:9" x14ac:dyDescent="0.25">
      <c r="A15" t="s">
        <v>28</v>
      </c>
      <c r="B15" s="12">
        <v>0</v>
      </c>
      <c r="C15" s="12">
        <v>1138.8</v>
      </c>
      <c r="E15" s="26">
        <v>0.12999966857629602</v>
      </c>
      <c r="F15" s="15">
        <f>ROUND(+$F$2*E15,2)</f>
        <v>1138.8</v>
      </c>
      <c r="G15" s="15"/>
      <c r="H15" s="15">
        <f>ROUND(+C15-F15,2)</f>
        <v>0</v>
      </c>
      <c r="I15" s="15">
        <f t="shared" si="4"/>
        <v>1138.8</v>
      </c>
    </row>
    <row r="16" spans="1:9" x14ac:dyDescent="0.25">
      <c r="A16" t="s">
        <v>29</v>
      </c>
      <c r="B16" s="12">
        <v>223.11</v>
      </c>
      <c r="C16" s="12">
        <v>219</v>
      </c>
      <c r="E16" s="26">
        <v>2.4999936264672312E-2</v>
      </c>
      <c r="F16" s="15">
        <f>ROUND(+$F$2*E16,2)</f>
        <v>219</v>
      </c>
      <c r="G16" s="15"/>
      <c r="H16" s="15">
        <f>ROUND(+C16-F16,2)</f>
        <v>0</v>
      </c>
      <c r="I16" s="15">
        <f t="shared" si="4"/>
        <v>219</v>
      </c>
    </row>
    <row r="17" spans="1:9" x14ac:dyDescent="0.25">
      <c r="A17" s="9" t="s">
        <v>30</v>
      </c>
      <c r="B17" s="12">
        <v>110.89</v>
      </c>
      <c r="C17" s="12">
        <v>219</v>
      </c>
      <c r="E17" s="26">
        <v>2.4999936264672312E-2</v>
      </c>
      <c r="F17" s="15">
        <f>ROUND(+$F$2*E17,2)</f>
        <v>219</v>
      </c>
      <c r="G17" s="15"/>
      <c r="H17" s="15">
        <f>ROUND(+C17-F17,2)</f>
        <v>0</v>
      </c>
      <c r="I17" s="15">
        <f t="shared" si="4"/>
        <v>219</v>
      </c>
    </row>
    <row r="18" spans="1:9" x14ac:dyDescent="0.25">
      <c r="A18" s="9" t="s">
        <v>38</v>
      </c>
      <c r="B18" s="12">
        <v>1723.44</v>
      </c>
      <c r="C18" s="12">
        <v>0</v>
      </c>
      <c r="H18" s="15">
        <f>ROUND(+C18-F18,2)</f>
        <v>0</v>
      </c>
    </row>
    <row r="19" spans="1:9" x14ac:dyDescent="0.25">
      <c r="A19" t="s">
        <v>31</v>
      </c>
      <c r="B19" s="12">
        <v>0</v>
      </c>
      <c r="C19" s="12">
        <f>315.36+156.4</f>
        <v>471.76</v>
      </c>
      <c r="E19" s="26">
        <v>3.5999818260940064E-2</v>
      </c>
      <c r="F19" s="15">
        <f>ROUND(+$F$2*E19,2)</f>
        <v>315.36</v>
      </c>
      <c r="G19" s="26">
        <f t="shared" ref="G19:G22" si="5">+H19/$H$2</f>
        <v>3.4000000000000002E-2</v>
      </c>
      <c r="H19" s="15">
        <f>ROUND(+C19-F19,2)</f>
        <v>156.4</v>
      </c>
      <c r="I19" s="15">
        <f t="shared" si="4"/>
        <v>471.76</v>
      </c>
    </row>
    <row r="20" spans="1:9" x14ac:dyDescent="0.25">
      <c r="A20" t="s">
        <v>32</v>
      </c>
      <c r="B20" s="12">
        <v>0</v>
      </c>
      <c r="C20" s="12">
        <f>362.66+179.86</f>
        <v>542.52</v>
      </c>
      <c r="E20" s="26">
        <v>4.139967854984599E-2</v>
      </c>
      <c r="F20" s="15">
        <f>ROUND(+$F$2*E20,2)</f>
        <v>362.66</v>
      </c>
      <c r="G20" s="26">
        <f t="shared" si="5"/>
        <v>3.9100000000000003E-2</v>
      </c>
      <c r="H20" s="15">
        <f>ROUND(+C20-F20,2)</f>
        <v>179.86</v>
      </c>
      <c r="I20" s="15">
        <f t="shared" si="4"/>
        <v>542.52</v>
      </c>
    </row>
    <row r="21" spans="1:9" x14ac:dyDescent="0.25">
      <c r="A21" t="s">
        <v>33</v>
      </c>
      <c r="B21" s="12">
        <v>0</v>
      </c>
      <c r="C21" s="12">
        <f>536.11+265.88</f>
        <v>801.99</v>
      </c>
      <c r="E21" s="26">
        <v>6.1199915944068282E-2</v>
      </c>
      <c r="F21" s="15">
        <f>ROUND(+$F$2*E21,2)</f>
        <v>536.11</v>
      </c>
      <c r="G21" s="26">
        <f t="shared" si="5"/>
        <v>5.7799999999999997E-2</v>
      </c>
      <c r="H21" s="15">
        <f>ROUND(+C21-F21,2)</f>
        <v>265.88</v>
      </c>
      <c r="I21" s="15">
        <f t="shared" si="4"/>
        <v>801.99</v>
      </c>
    </row>
    <row r="22" spans="1:9" x14ac:dyDescent="0.25">
      <c r="A22" t="s">
        <v>34</v>
      </c>
      <c r="B22" s="12">
        <v>0</v>
      </c>
      <c r="C22" s="12">
        <f>362.66+179.86</f>
        <v>542.52</v>
      </c>
      <c r="E22" s="26">
        <v>4.139967854984599E-2</v>
      </c>
      <c r="F22" s="15">
        <f>ROUND(+$F$2*E22,2)</f>
        <v>362.66</v>
      </c>
      <c r="G22" s="26">
        <f t="shared" si="5"/>
        <v>3.9100000000000003E-2</v>
      </c>
      <c r="H22" s="15">
        <f>ROUND(+C22-F22,2)</f>
        <v>179.86</v>
      </c>
      <c r="I22" s="15">
        <f t="shared" si="4"/>
        <v>542.52</v>
      </c>
    </row>
    <row r="23" spans="1:9" x14ac:dyDescent="0.25">
      <c r="A23" s="11" t="s">
        <v>35</v>
      </c>
      <c r="B23" s="12">
        <v>280.56</v>
      </c>
      <c r="C23" s="12">
        <v>262.8</v>
      </c>
      <c r="E23" s="26">
        <v>2.9999923517606782E-2</v>
      </c>
      <c r="F23" s="15">
        <f>ROUND(+$F$2*E23,2)</f>
        <v>262.8</v>
      </c>
      <c r="G23" s="15"/>
      <c r="H23" s="15">
        <f>ROUND(+C23-F23,2)</f>
        <v>0</v>
      </c>
      <c r="I23" s="15">
        <f t="shared" si="4"/>
        <v>262.8</v>
      </c>
    </row>
    <row r="24" spans="1:9" x14ac:dyDescent="0.25">
      <c r="A24" s="9" t="s">
        <v>36</v>
      </c>
      <c r="B24" s="13">
        <v>0</v>
      </c>
      <c r="C24" s="13">
        <v>87.6</v>
      </c>
      <c r="E24" s="26">
        <v>9.9999745058689266E-3</v>
      </c>
      <c r="F24" s="15">
        <f>ROUND(+$F$2*E24,2)</f>
        <v>87.6</v>
      </c>
      <c r="G24" s="15"/>
      <c r="H24" s="15">
        <f>ROUND(+C24-F24,2)</f>
        <v>0</v>
      </c>
      <c r="I24" s="15">
        <f t="shared" si="4"/>
        <v>87.6</v>
      </c>
    </row>
    <row r="25" spans="1:9" ht="15.75" thickBot="1" x14ac:dyDescent="0.3">
      <c r="A25" s="7" t="s">
        <v>37</v>
      </c>
      <c r="B25" s="23">
        <f>SUM(B10:B24)</f>
        <v>13360</v>
      </c>
      <c r="C25" s="23">
        <f>SUM(C10:C24)</f>
        <v>13359.999999999998</v>
      </c>
      <c r="E25" s="28">
        <v>1</v>
      </c>
      <c r="F25" s="57">
        <f>SUM(F10:F24)</f>
        <v>8760</v>
      </c>
      <c r="G25" s="57"/>
      <c r="H25" s="57">
        <f t="shared" ref="H25" si="6">SUM(H10:H24)</f>
        <v>4600</v>
      </c>
      <c r="I25" s="57">
        <f>SUM(I10:I24)</f>
        <v>13360</v>
      </c>
    </row>
    <row r="26" spans="1:9" ht="15.75" thickTop="1" x14ac:dyDescent="0.25">
      <c r="E26" s="26"/>
      <c r="F26" s="15"/>
      <c r="G26" s="15"/>
      <c r="H26" s="15"/>
      <c r="I26" s="15"/>
    </row>
    <row r="28" spans="1:9" x14ac:dyDescent="0.25">
      <c r="C28" s="15"/>
      <c r="E28" t="s">
        <v>159</v>
      </c>
    </row>
  </sheetData>
  <mergeCells count="2"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131A-8BF5-48CE-BAA6-08D056B44E28}">
  <dimension ref="A1:N32"/>
  <sheetViews>
    <sheetView workbookViewId="0">
      <selection activeCell="G22" sqref="G22"/>
    </sheetView>
  </sheetViews>
  <sheetFormatPr defaultRowHeight="15" x14ac:dyDescent="0.25"/>
  <cols>
    <col min="1" max="1" width="19.5703125" bestFit="1" customWidth="1"/>
    <col min="2" max="2" width="10.7109375" customWidth="1"/>
    <col min="6" max="6" width="9.5703125" bestFit="1" customWidth="1"/>
    <col min="7" max="7" width="12.140625" customWidth="1"/>
    <col min="8" max="8" width="9.85546875" bestFit="1" customWidth="1"/>
    <col min="9" max="11" width="9.85546875" customWidth="1"/>
    <col min="12" max="12" width="10.5703125" bestFit="1" customWidth="1"/>
    <col min="14" max="14" width="10.28515625" bestFit="1" customWidth="1"/>
  </cols>
  <sheetData>
    <row r="1" spans="1:14" x14ac:dyDescent="0.25">
      <c r="A1" s="55" t="s">
        <v>1</v>
      </c>
      <c r="B1" s="55"/>
      <c r="E1" s="47"/>
      <c r="F1" s="47"/>
      <c r="G1" s="47"/>
    </row>
    <row r="2" spans="1:14" x14ac:dyDescent="0.25">
      <c r="A2" s="55" t="s">
        <v>46</v>
      </c>
      <c r="B2" s="55"/>
      <c r="E2" t="s">
        <v>166</v>
      </c>
    </row>
    <row r="3" spans="1:14" x14ac:dyDescent="0.25">
      <c r="A3" s="53"/>
      <c r="B3" s="53"/>
      <c r="E3" t="s">
        <v>167</v>
      </c>
      <c r="F3" s="12">
        <f>250+(375+300+25)/4+680+4662+600+134.64+405+0.01</f>
        <v>6906.6500000000005</v>
      </c>
      <c r="G3" s="12">
        <f>125+125</f>
        <v>250</v>
      </c>
      <c r="H3" s="12">
        <f>(375+300+25)/4+850+800+275+325+475</f>
        <v>2900</v>
      </c>
      <c r="I3" s="12">
        <f>(375+300+25)/4</f>
        <v>175</v>
      </c>
      <c r="J3" s="12">
        <f>(375+300+25)/4</f>
        <v>175</v>
      </c>
      <c r="K3" s="12">
        <f>750+700+67.32</f>
        <v>1517.32</v>
      </c>
    </row>
    <row r="4" spans="1:14" ht="30" x14ac:dyDescent="0.25">
      <c r="A4" s="4" t="s">
        <v>18</v>
      </c>
      <c r="B4" s="10" t="s">
        <v>160</v>
      </c>
      <c r="E4" s="10" t="s">
        <v>55</v>
      </c>
      <c r="F4" s="4" t="s">
        <v>151</v>
      </c>
      <c r="G4" s="10" t="s">
        <v>154</v>
      </c>
      <c r="H4" s="10" t="s">
        <v>155</v>
      </c>
      <c r="I4" s="10" t="s">
        <v>95</v>
      </c>
      <c r="J4" s="10" t="s">
        <v>163</v>
      </c>
      <c r="K4" s="10" t="s">
        <v>156</v>
      </c>
      <c r="L4" s="4" t="s">
        <v>17</v>
      </c>
    </row>
    <row r="5" spans="1:14" x14ac:dyDescent="0.25">
      <c r="A5" s="8" t="s">
        <v>19</v>
      </c>
      <c r="B5" s="12">
        <v>0</v>
      </c>
      <c r="C5" s="15"/>
      <c r="E5" s="26">
        <v>0.10150045662100457</v>
      </c>
      <c r="F5" s="15">
        <f>+E5*$F$3</f>
        <v>701.02812872146126</v>
      </c>
      <c r="I5">
        <v>175</v>
      </c>
      <c r="L5" s="15">
        <f>+H46+G5+F5+H5+I5+J5+K5</f>
        <v>876.02812872146126</v>
      </c>
      <c r="N5" s="15"/>
    </row>
    <row r="6" spans="1:14" x14ac:dyDescent="0.25">
      <c r="A6" s="9" t="s">
        <v>20</v>
      </c>
      <c r="B6" s="12">
        <v>0</v>
      </c>
      <c r="C6" s="15"/>
      <c r="E6" s="26">
        <v>0.10150045662100457</v>
      </c>
      <c r="F6" s="15">
        <f>+E6*$F$3</f>
        <v>701.02812872146126</v>
      </c>
      <c r="G6" s="15"/>
      <c r="L6" s="15">
        <f t="shared" ref="L6:L10" si="0">+H47+G6+F6+H6+I6+J6+K6</f>
        <v>701.02812872146126</v>
      </c>
      <c r="N6" s="15"/>
    </row>
    <row r="7" spans="1:14" x14ac:dyDescent="0.25">
      <c r="A7" s="9" t="s">
        <v>21</v>
      </c>
      <c r="B7" s="12">
        <v>0</v>
      </c>
      <c r="C7" s="15"/>
      <c r="E7" s="26">
        <v>0.10150045662100457</v>
      </c>
      <c r="F7" s="15">
        <f>+E7*$F$3</f>
        <v>701.02812872146126</v>
      </c>
      <c r="L7" s="15">
        <f t="shared" si="0"/>
        <v>701.02812872146126</v>
      </c>
      <c r="N7" s="15"/>
    </row>
    <row r="8" spans="1:14" x14ac:dyDescent="0.25">
      <c r="A8" s="9" t="s">
        <v>39</v>
      </c>
      <c r="B8" s="12">
        <v>0</v>
      </c>
      <c r="C8" s="15"/>
      <c r="E8" s="26">
        <v>0.10150045662100457</v>
      </c>
      <c r="F8" s="15">
        <f>+E8*$F$3</f>
        <v>701.02812872146126</v>
      </c>
      <c r="L8" s="15">
        <f t="shared" si="0"/>
        <v>701.02812872146126</v>
      </c>
      <c r="N8" s="15"/>
    </row>
    <row r="9" spans="1:14" x14ac:dyDescent="0.25">
      <c r="A9" t="s">
        <v>23</v>
      </c>
      <c r="B9" s="16">
        <v>0</v>
      </c>
      <c r="C9" s="15"/>
      <c r="E9" s="26">
        <v>5.3999999999999992E-2</v>
      </c>
      <c r="F9" s="15">
        <f>+E9*$F$3</f>
        <v>372.95909999999998</v>
      </c>
      <c r="L9" s="15">
        <f t="shared" si="0"/>
        <v>372.95909999999998</v>
      </c>
      <c r="N9" s="15"/>
    </row>
    <row r="10" spans="1:14" x14ac:dyDescent="0.25">
      <c r="A10" t="s">
        <v>39</v>
      </c>
      <c r="B10" s="13">
        <v>3406.76</v>
      </c>
      <c r="C10" s="15"/>
      <c r="E10" s="26"/>
      <c r="F10" s="3"/>
      <c r="K10" s="15">
        <f>0.25*$K$3</f>
        <v>379.33</v>
      </c>
      <c r="L10" s="15">
        <f t="shared" si="0"/>
        <v>379.33</v>
      </c>
      <c r="N10" s="15"/>
    </row>
    <row r="11" spans="1:14" x14ac:dyDescent="0.25">
      <c r="A11" t="s">
        <v>24</v>
      </c>
      <c r="B11" s="14">
        <f>SUM(B5:B10)</f>
        <v>3406.76</v>
      </c>
      <c r="E11" s="26"/>
      <c r="F11" s="14">
        <f>SUM(F5:F10)</f>
        <v>3177.0716148858451</v>
      </c>
      <c r="G11" s="14">
        <f t="shared" ref="G11:K11" si="1">SUM(G5:G10)</f>
        <v>0</v>
      </c>
      <c r="H11" s="14">
        <f t="shared" si="1"/>
        <v>0</v>
      </c>
      <c r="I11" s="14">
        <f t="shared" si="1"/>
        <v>175</v>
      </c>
      <c r="J11" s="14">
        <f t="shared" si="1"/>
        <v>0</v>
      </c>
      <c r="K11" s="14">
        <f t="shared" si="1"/>
        <v>379.33</v>
      </c>
      <c r="L11" s="14">
        <f>SUM(L5:L10)</f>
        <v>3731.401614885845</v>
      </c>
    </row>
    <row r="12" spans="1:14" x14ac:dyDescent="0.25">
      <c r="B12" s="12"/>
      <c r="E12" s="26"/>
    </row>
    <row r="13" spans="1:14" x14ac:dyDescent="0.25">
      <c r="B13" s="12"/>
      <c r="E13" s="26"/>
      <c r="L13" s="15"/>
    </row>
    <row r="14" spans="1:14" x14ac:dyDescent="0.25">
      <c r="A14" t="s">
        <v>25</v>
      </c>
      <c r="B14" s="12">
        <v>0</v>
      </c>
      <c r="E14" s="26">
        <v>1.2599823941093935E-2</v>
      </c>
      <c r="F14" s="15">
        <f>+E14*$F$3</f>
        <v>87.02257402275643</v>
      </c>
      <c r="G14" s="15">
        <f>+(17.22/27.5)*G3</f>
        <v>156.54545454545453</v>
      </c>
      <c r="H14" s="15">
        <f>0.1722*$H$3</f>
        <v>499.38</v>
      </c>
      <c r="L14" s="15">
        <f t="shared" ref="L14:L27" si="2">+H55+G14+F14+H14+I14+J14+K14</f>
        <v>742.94802856821093</v>
      </c>
      <c r="N14" s="15"/>
    </row>
    <row r="15" spans="1:14" x14ac:dyDescent="0.25">
      <c r="A15" t="s">
        <v>26</v>
      </c>
      <c r="B15" s="12">
        <v>0</v>
      </c>
      <c r="E15" s="26">
        <v>7.4001250706439183E-3</v>
      </c>
      <c r="F15" s="15">
        <f>+E15*$F$3</f>
        <v>51.110073819162821</v>
      </c>
      <c r="G15" s="15">
        <f>+(10.28/27.5)*G3</f>
        <v>93.454545454545439</v>
      </c>
      <c r="H15" s="15">
        <f>+$H$3*0.1028</f>
        <v>298.12</v>
      </c>
      <c r="L15" s="15">
        <f t="shared" si="2"/>
        <v>442.68461927370828</v>
      </c>
      <c r="N15" s="15"/>
    </row>
    <row r="16" spans="1:14" x14ac:dyDescent="0.25">
      <c r="A16" t="s">
        <v>27</v>
      </c>
      <c r="B16" s="12">
        <v>2555.37</v>
      </c>
      <c r="E16" s="26">
        <v>0.11999969407042713</v>
      </c>
      <c r="F16" s="15">
        <f>+E16*$F$3</f>
        <v>828.79588705151559</v>
      </c>
      <c r="H16" s="15"/>
      <c r="L16" s="15">
        <f t="shared" si="2"/>
        <v>828.79588705151559</v>
      </c>
      <c r="N16" s="15"/>
    </row>
    <row r="17" spans="1:14" x14ac:dyDescent="0.25">
      <c r="A17" t="s">
        <v>28</v>
      </c>
      <c r="B17" s="12">
        <v>0</v>
      </c>
      <c r="E17" s="26">
        <v>0.12999966857629602</v>
      </c>
      <c r="F17" s="15">
        <f>+E17*$F$3</f>
        <v>897.86221097247505</v>
      </c>
      <c r="H17" s="15"/>
      <c r="K17" s="15">
        <f>0.25*$K$3</f>
        <v>379.33</v>
      </c>
      <c r="L17" s="15">
        <f t="shared" si="2"/>
        <v>1277.1922109724751</v>
      </c>
      <c r="N17" s="15"/>
    </row>
    <row r="18" spans="1:14" x14ac:dyDescent="0.25">
      <c r="A18" t="s">
        <v>29</v>
      </c>
      <c r="B18" s="12">
        <v>571.16999999999996</v>
      </c>
      <c r="E18" s="26">
        <v>2.4999936264672312E-2</v>
      </c>
      <c r="F18" s="15">
        <f>+E18*$F$3</f>
        <v>172.66580980239902</v>
      </c>
      <c r="H18" s="15"/>
      <c r="K18" s="15">
        <f>((0.0834+(0.0834/2))*$K$3)</f>
        <v>189.81673199999997</v>
      </c>
      <c r="L18" s="15">
        <f t="shared" si="2"/>
        <v>362.482541802399</v>
      </c>
      <c r="N18" s="15"/>
    </row>
    <row r="19" spans="1:14" x14ac:dyDescent="0.25">
      <c r="A19" s="9" t="s">
        <v>30</v>
      </c>
      <c r="B19" s="12">
        <v>281.41000000000003</v>
      </c>
      <c r="E19" s="26">
        <v>2.4999936264672312E-2</v>
      </c>
      <c r="F19" s="15">
        <f>+E19*$F$3</f>
        <v>172.66580980239902</v>
      </c>
      <c r="H19" s="15"/>
      <c r="K19" s="15">
        <f>0.25*$K$3</f>
        <v>379.33</v>
      </c>
      <c r="L19" s="15">
        <f t="shared" si="2"/>
        <v>551.99580980239898</v>
      </c>
      <c r="N19" s="15"/>
    </row>
    <row r="20" spans="1:14" x14ac:dyDescent="0.25">
      <c r="A20" s="9" t="s">
        <v>27</v>
      </c>
      <c r="B20" s="12"/>
      <c r="E20" s="26"/>
      <c r="F20" s="15"/>
      <c r="H20" s="15">
        <f>0.555*$H$3-0.01</f>
        <v>1609.4900000000002</v>
      </c>
      <c r="J20">
        <v>175</v>
      </c>
      <c r="L20" s="15">
        <f t="shared" si="2"/>
        <v>1784.4900000000002</v>
      </c>
      <c r="N20" s="15"/>
    </row>
    <row r="21" spans="1:14" x14ac:dyDescent="0.25">
      <c r="A21" s="9" t="s">
        <v>38</v>
      </c>
      <c r="B21" s="12">
        <v>4394.09</v>
      </c>
      <c r="E21" s="26"/>
      <c r="F21" s="15">
        <f>+E21*$F$3</f>
        <v>0</v>
      </c>
      <c r="L21" s="15">
        <f t="shared" si="2"/>
        <v>0</v>
      </c>
      <c r="N21" s="15"/>
    </row>
    <row r="22" spans="1:14" x14ac:dyDescent="0.25">
      <c r="A22" t="s">
        <v>31</v>
      </c>
      <c r="B22" s="12">
        <v>0</v>
      </c>
      <c r="E22" s="26">
        <v>3.5999818260940064E-2</v>
      </c>
      <c r="F22" s="15">
        <f>+E22*$F$3</f>
        <v>248.63814479192172</v>
      </c>
      <c r="H22" s="15">
        <f>+$H$3*0.034</f>
        <v>98.600000000000009</v>
      </c>
      <c r="L22" s="15">
        <f t="shared" si="2"/>
        <v>347.23814479192174</v>
      </c>
      <c r="N22" s="15"/>
    </row>
    <row r="23" spans="1:14" x14ac:dyDescent="0.25">
      <c r="A23" t="s">
        <v>32</v>
      </c>
      <c r="B23" s="12">
        <v>0</v>
      </c>
      <c r="E23" s="26">
        <v>4.139967854984599E-2</v>
      </c>
      <c r="F23" s="15">
        <f>+E23*$F$3</f>
        <v>285.9330898562938</v>
      </c>
      <c r="H23" s="15">
        <f>0.0391*$H$3</f>
        <v>113.39000000000001</v>
      </c>
      <c r="L23" s="15">
        <f t="shared" si="2"/>
        <v>399.32308985629379</v>
      </c>
      <c r="N23" s="15"/>
    </row>
    <row r="24" spans="1:14" x14ac:dyDescent="0.25">
      <c r="A24" t="s">
        <v>33</v>
      </c>
      <c r="B24" s="12">
        <v>0</v>
      </c>
      <c r="E24" s="26">
        <v>6.1199915944068282E-2</v>
      </c>
      <c r="F24" s="15">
        <f>+E24*$F$3</f>
        <v>422.68639945509926</v>
      </c>
      <c r="H24" s="15">
        <f>0.0578*$H$3</f>
        <v>167.62</v>
      </c>
      <c r="L24" s="15">
        <f t="shared" si="2"/>
        <v>590.30639945509927</v>
      </c>
      <c r="N24" s="15"/>
    </row>
    <row r="25" spans="1:14" x14ac:dyDescent="0.25">
      <c r="A25" t="s">
        <v>34</v>
      </c>
      <c r="B25" s="12">
        <v>0</v>
      </c>
      <c r="E25" s="26">
        <v>4.139967854984599E-2</v>
      </c>
      <c r="F25" s="15">
        <f>+E25*$F$3</f>
        <v>285.9330898562938</v>
      </c>
      <c r="H25" s="15">
        <f>0.0391*$H$3</f>
        <v>113.39000000000001</v>
      </c>
      <c r="L25" s="15">
        <f t="shared" si="2"/>
        <v>399.32308985629379</v>
      </c>
      <c r="N25" s="15"/>
    </row>
    <row r="26" spans="1:14" x14ac:dyDescent="0.25">
      <c r="A26" s="11" t="s">
        <v>35</v>
      </c>
      <c r="B26" s="12">
        <v>715.46</v>
      </c>
      <c r="E26" s="26">
        <v>2.9999923517606782E-2</v>
      </c>
      <c r="F26" s="15">
        <f>+E26*$F$3</f>
        <v>207.1989717628789</v>
      </c>
      <c r="H26" s="15"/>
      <c r="L26" s="15">
        <f t="shared" si="2"/>
        <v>207.1989717628789</v>
      </c>
      <c r="N26" s="15"/>
    </row>
    <row r="27" spans="1:14" x14ac:dyDescent="0.25">
      <c r="A27" s="9" t="s">
        <v>36</v>
      </c>
      <c r="B27" s="16">
        <v>0</v>
      </c>
      <c r="E27" s="26">
        <v>9.9999745058689266E-3</v>
      </c>
      <c r="F27" s="15">
        <f>+E27*$F$3</f>
        <v>69.066323920959633</v>
      </c>
      <c r="G27" s="13"/>
      <c r="H27" s="15"/>
      <c r="I27" s="16"/>
      <c r="J27" s="16"/>
      <c r="K27" s="16">
        <f>+$K$3*(0.0834+0.0834/2)</f>
        <v>189.81673199999997</v>
      </c>
      <c r="L27" s="15">
        <f t="shared" si="2"/>
        <v>258.88305592095958</v>
      </c>
      <c r="N27" s="15"/>
    </row>
    <row r="28" spans="1:14" ht="15.75" thickBot="1" x14ac:dyDescent="0.3">
      <c r="A28" s="7" t="s">
        <v>37</v>
      </c>
      <c r="B28" s="23">
        <f>SUM(B11:B27)</f>
        <v>11924.259999999998</v>
      </c>
      <c r="E28" s="28">
        <v>1</v>
      </c>
      <c r="F28" s="23">
        <f>SUM(F11:F27)</f>
        <v>6906.6500000000005</v>
      </c>
      <c r="G28" s="23">
        <f>SUM(G11:G27)</f>
        <v>249.99999999999997</v>
      </c>
      <c r="H28" s="23">
        <f>SUM(H11:H27)</f>
        <v>2899.99</v>
      </c>
      <c r="I28" s="23">
        <f t="shared" ref="I28:K28" si="3">SUM(I11:I27)</f>
        <v>175</v>
      </c>
      <c r="J28" s="23">
        <f t="shared" si="3"/>
        <v>175</v>
      </c>
      <c r="K28" s="23">
        <f t="shared" si="3"/>
        <v>1517.623464</v>
      </c>
      <c r="L28" s="57">
        <f>SUM(L11:L27)</f>
        <v>11924.263464000001</v>
      </c>
      <c r="N28" s="15"/>
    </row>
    <row r="29" spans="1:14" ht="15.75" thickTop="1" x14ac:dyDescent="0.25"/>
    <row r="32" spans="1:14" x14ac:dyDescent="0.25">
      <c r="B32" s="15"/>
    </row>
  </sheetData>
  <mergeCells count="2">
    <mergeCell ref="A1:B1"/>
    <mergeCell ref="A2:B2"/>
  </mergeCells>
  <printOptions horizontalCentered="1"/>
  <pageMargins left="0.7" right="0.7" top="0.75" bottom="0.75" header="0.3" footer="0.3"/>
  <pageSetup paperSize="5" orientation="landscape" r:id="rId1"/>
  <ignoredErrors>
    <ignoredError sqref="H24 K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9BFC-2F23-4EF4-9E33-23DCA31E83B6}">
  <dimension ref="A1:J29"/>
  <sheetViews>
    <sheetView workbookViewId="0">
      <selection activeCell="D31" sqref="D31"/>
    </sheetView>
  </sheetViews>
  <sheetFormatPr defaultRowHeight="15" x14ac:dyDescent="0.25"/>
  <cols>
    <col min="1" max="1" width="19.5703125" bestFit="1" customWidth="1"/>
    <col min="2" max="3" width="10.7109375" customWidth="1"/>
    <col min="4" max="4" width="11.5703125" customWidth="1"/>
    <col min="5" max="5" width="9.5703125" bestFit="1" customWidth="1"/>
    <col min="6" max="6" width="13.5703125" bestFit="1" customWidth="1"/>
    <col min="7" max="7" width="12.7109375" bestFit="1" customWidth="1"/>
    <col min="8" max="8" width="9.85546875" bestFit="1" customWidth="1"/>
    <col min="10" max="10" width="10.28515625" bestFit="1" customWidth="1"/>
  </cols>
  <sheetData>
    <row r="1" spans="1:10" x14ac:dyDescent="0.25">
      <c r="A1" s="55" t="s">
        <v>1</v>
      </c>
      <c r="B1" s="55"/>
      <c r="C1" s="53"/>
    </row>
    <row r="2" spans="1:10" x14ac:dyDescent="0.25">
      <c r="A2" s="55" t="s">
        <v>47</v>
      </c>
      <c r="B2" s="55"/>
      <c r="C2" s="53"/>
      <c r="E2" s="16">
        <f>25+850+4662+500</f>
        <v>6037</v>
      </c>
      <c r="F2" s="16">
        <v>175</v>
      </c>
      <c r="G2" s="16">
        <v>1425</v>
      </c>
      <c r="H2" s="61">
        <f>SUM(E2:G2)</f>
        <v>7637</v>
      </c>
    </row>
    <row r="3" spans="1:10" ht="30" x14ac:dyDescent="0.25">
      <c r="A3" s="4" t="s">
        <v>18</v>
      </c>
      <c r="B3" s="10" t="s">
        <v>160</v>
      </c>
      <c r="C3" s="10"/>
      <c r="D3" s="60" t="s">
        <v>164</v>
      </c>
      <c r="E3" s="3" t="s">
        <v>151</v>
      </c>
      <c r="F3" s="3" t="s">
        <v>152</v>
      </c>
      <c r="G3" s="62" t="s">
        <v>153</v>
      </c>
      <c r="H3" s="3" t="s">
        <v>17</v>
      </c>
    </row>
    <row r="4" spans="1:10" x14ac:dyDescent="0.25">
      <c r="A4" s="8" t="s">
        <v>19</v>
      </c>
      <c r="B4" s="12">
        <v>0</v>
      </c>
      <c r="C4" s="12"/>
      <c r="D4" s="26">
        <v>0.10150045662100457</v>
      </c>
      <c r="E4" s="15">
        <f>+D4*$E$2</f>
        <v>612.75825662100453</v>
      </c>
      <c r="H4" s="15">
        <f t="shared" ref="H4:H9" si="0">+G46+F4+E4+G4</f>
        <v>612.75825662100453</v>
      </c>
      <c r="J4" s="15"/>
    </row>
    <row r="5" spans="1:10" x14ac:dyDescent="0.25">
      <c r="A5" s="9" t="s">
        <v>20</v>
      </c>
      <c r="B5" s="12">
        <v>0</v>
      </c>
      <c r="C5" s="12"/>
      <c r="D5" s="26">
        <v>0.10150045662100457</v>
      </c>
      <c r="E5" s="15">
        <f t="shared" ref="E5:E8" si="1">+D5*$E$2</f>
        <v>612.75825662100453</v>
      </c>
      <c r="F5" s="15">
        <v>175</v>
      </c>
      <c r="H5" s="15">
        <f t="shared" si="0"/>
        <v>787.75825662100453</v>
      </c>
      <c r="J5" s="15"/>
    </row>
    <row r="6" spans="1:10" x14ac:dyDescent="0.25">
      <c r="A6" s="9" t="s">
        <v>21</v>
      </c>
      <c r="B6" s="12">
        <v>0</v>
      </c>
      <c r="C6" s="12"/>
      <c r="D6" s="26">
        <v>0.10150045662100457</v>
      </c>
      <c r="E6" s="15">
        <f t="shared" si="1"/>
        <v>612.75825662100453</v>
      </c>
      <c r="H6" s="15">
        <f t="shared" si="0"/>
        <v>612.75825662100453</v>
      </c>
      <c r="J6" s="15"/>
    </row>
    <row r="7" spans="1:10" x14ac:dyDescent="0.25">
      <c r="A7" s="9" t="s">
        <v>165</v>
      </c>
      <c r="B7" s="12">
        <v>0</v>
      </c>
      <c r="C7" s="12"/>
      <c r="D7" s="26">
        <v>0.10150045662100457</v>
      </c>
      <c r="E7" s="15">
        <f t="shared" si="1"/>
        <v>612.75825662100453</v>
      </c>
      <c r="H7" s="15">
        <f t="shared" si="0"/>
        <v>612.75825662100453</v>
      </c>
      <c r="J7" s="15"/>
    </row>
    <row r="8" spans="1:10" x14ac:dyDescent="0.25">
      <c r="A8" t="s">
        <v>23</v>
      </c>
      <c r="B8" s="16">
        <v>0</v>
      </c>
      <c r="C8" s="16"/>
      <c r="D8" s="26">
        <v>5.3999999999999992E-2</v>
      </c>
      <c r="E8" s="15">
        <f t="shared" si="1"/>
        <v>325.99799999999993</v>
      </c>
      <c r="H8" s="15">
        <f t="shared" si="0"/>
        <v>325.99799999999993</v>
      </c>
      <c r="J8" s="15"/>
    </row>
    <row r="9" spans="1:10" x14ac:dyDescent="0.25">
      <c r="A9" t="s">
        <v>39</v>
      </c>
      <c r="B9" s="13">
        <v>2181.89</v>
      </c>
      <c r="C9" s="16"/>
      <c r="D9" s="26"/>
      <c r="E9" s="3"/>
      <c r="H9" s="15">
        <f t="shared" si="0"/>
        <v>0</v>
      </c>
    </row>
    <row r="10" spans="1:10" x14ac:dyDescent="0.25">
      <c r="A10" t="s">
        <v>24</v>
      </c>
      <c r="B10" s="14">
        <f>SUM(B4:B9)</f>
        <v>2181.89</v>
      </c>
      <c r="C10" s="16"/>
      <c r="D10" s="26"/>
      <c r="E10" s="14">
        <f>SUM(E4:E9)</f>
        <v>2777.0310264840182</v>
      </c>
      <c r="F10" s="14">
        <f>SUM(F4:F9)</f>
        <v>175</v>
      </c>
      <c r="G10" s="14"/>
      <c r="H10" s="14">
        <f>SUM(H4:H9)</f>
        <v>2952.0310264840182</v>
      </c>
    </row>
    <row r="11" spans="1:10" x14ac:dyDescent="0.25">
      <c r="B11" s="12"/>
      <c r="C11" s="12"/>
      <c r="D11" s="26"/>
    </row>
    <row r="12" spans="1:10" x14ac:dyDescent="0.25">
      <c r="A12" t="s">
        <v>25</v>
      </c>
      <c r="B12" s="12">
        <v>0</v>
      </c>
      <c r="C12" s="12"/>
      <c r="D12" s="26">
        <v>1.2599823941093935E-2</v>
      </c>
      <c r="E12" s="15">
        <f t="shared" ref="E12:E24" si="2">+D12*$E$2</f>
        <v>76.065137132384081</v>
      </c>
      <c r="H12" s="15">
        <f t="shared" ref="H12:H13" si="3">+G54+F12+E12+G12</f>
        <v>76.065137132384081</v>
      </c>
      <c r="J12" s="15"/>
    </row>
    <row r="13" spans="1:10" x14ac:dyDescent="0.25">
      <c r="A13" t="s">
        <v>26</v>
      </c>
      <c r="B13" s="12">
        <v>0</v>
      </c>
      <c r="C13" s="12"/>
      <c r="D13" s="26">
        <v>7.4001250706439183E-3</v>
      </c>
      <c r="E13" s="15">
        <f t="shared" si="2"/>
        <v>44.674555051477334</v>
      </c>
      <c r="H13" s="15">
        <f t="shared" si="3"/>
        <v>44.674555051477334</v>
      </c>
      <c r="J13" s="15"/>
    </row>
    <row r="14" spans="1:10" x14ac:dyDescent="0.25">
      <c r="A14" t="s">
        <v>27</v>
      </c>
      <c r="B14" s="12">
        <v>1636.61</v>
      </c>
      <c r="C14" s="12"/>
      <c r="D14" s="26">
        <v>0.11999969407042713</v>
      </c>
      <c r="E14" s="15">
        <f t="shared" si="2"/>
        <v>724.43815310316859</v>
      </c>
      <c r="G14" s="15">
        <v>1425</v>
      </c>
      <c r="H14" s="15">
        <f>+G56+F14+E14+G14</f>
        <v>2149.4381531031686</v>
      </c>
      <c r="J14" s="15"/>
    </row>
    <row r="15" spans="1:10" x14ac:dyDescent="0.25">
      <c r="A15" t="s">
        <v>28</v>
      </c>
      <c r="B15" s="12">
        <v>0</v>
      </c>
      <c r="C15" s="12"/>
      <c r="D15" s="26">
        <v>0.12999966857629602</v>
      </c>
      <c r="E15" s="15">
        <f t="shared" si="2"/>
        <v>784.80799919509911</v>
      </c>
      <c r="H15" s="15">
        <f t="shared" ref="H15:H24" si="4">+G57+F15+E15+G15</f>
        <v>784.80799919509911</v>
      </c>
      <c r="J15" s="15"/>
    </row>
    <row r="16" spans="1:10" x14ac:dyDescent="0.25">
      <c r="A16" t="s">
        <v>29</v>
      </c>
      <c r="B16" s="12">
        <v>365.81</v>
      </c>
      <c r="C16" s="12"/>
      <c r="D16" s="26">
        <v>2.4999936264672312E-2</v>
      </c>
      <c r="E16" s="15">
        <f t="shared" si="2"/>
        <v>150.92461522982674</v>
      </c>
      <c r="H16" s="15">
        <f t="shared" si="4"/>
        <v>150.92461522982674</v>
      </c>
      <c r="J16" s="15"/>
    </row>
    <row r="17" spans="1:10" x14ac:dyDescent="0.25">
      <c r="A17" s="9" t="s">
        <v>30</v>
      </c>
      <c r="B17" s="12">
        <v>180.23</v>
      </c>
      <c r="C17" s="12"/>
      <c r="D17" s="26">
        <v>2.4999936264672312E-2</v>
      </c>
      <c r="E17" s="15">
        <f t="shared" si="2"/>
        <v>150.92461522982674</v>
      </c>
      <c r="H17" s="15">
        <f t="shared" si="4"/>
        <v>150.92461522982674</v>
      </c>
      <c r="J17" s="15"/>
    </row>
    <row r="18" spans="1:10" x14ac:dyDescent="0.25">
      <c r="A18" s="9" t="s">
        <v>38</v>
      </c>
      <c r="B18" s="12">
        <v>2814.24</v>
      </c>
      <c r="C18" s="12"/>
      <c r="D18" s="26"/>
      <c r="E18" s="15">
        <f t="shared" si="2"/>
        <v>0</v>
      </c>
      <c r="H18" s="15">
        <f t="shared" si="4"/>
        <v>0</v>
      </c>
      <c r="J18" s="15"/>
    </row>
    <row r="19" spans="1:10" x14ac:dyDescent="0.25">
      <c r="A19" t="s">
        <v>31</v>
      </c>
      <c r="B19" s="12">
        <v>0</v>
      </c>
      <c r="C19" s="12"/>
      <c r="D19" s="26">
        <v>3.5999818260940064E-2</v>
      </c>
      <c r="E19" s="15">
        <f t="shared" si="2"/>
        <v>217.33090284129517</v>
      </c>
      <c r="H19" s="15">
        <f t="shared" si="4"/>
        <v>217.33090284129517</v>
      </c>
      <c r="J19" s="15"/>
    </row>
    <row r="20" spans="1:10" x14ac:dyDescent="0.25">
      <c r="A20" t="s">
        <v>32</v>
      </c>
      <c r="B20" s="12">
        <v>0</v>
      </c>
      <c r="C20" s="12"/>
      <c r="D20" s="26">
        <v>4.139967854984599E-2</v>
      </c>
      <c r="E20" s="15">
        <f t="shared" si="2"/>
        <v>249.92985940542025</v>
      </c>
      <c r="H20" s="15">
        <f t="shared" si="4"/>
        <v>249.92985940542025</v>
      </c>
      <c r="J20" s="15"/>
    </row>
    <row r="21" spans="1:10" x14ac:dyDescent="0.25">
      <c r="A21" t="s">
        <v>33</v>
      </c>
      <c r="B21" s="12">
        <v>0</v>
      </c>
      <c r="C21" s="12"/>
      <c r="D21" s="26">
        <v>6.1199915944068282E-2</v>
      </c>
      <c r="E21" s="15">
        <f t="shared" si="2"/>
        <v>369.46389255434025</v>
      </c>
      <c r="H21" s="15">
        <f t="shared" si="4"/>
        <v>369.46389255434025</v>
      </c>
      <c r="J21" s="15"/>
    </row>
    <row r="22" spans="1:10" x14ac:dyDescent="0.25">
      <c r="A22" t="s">
        <v>34</v>
      </c>
      <c r="B22" s="12">
        <v>0</v>
      </c>
      <c r="C22" s="12"/>
      <c r="D22" s="26">
        <v>4.139967854984599E-2</v>
      </c>
      <c r="E22" s="15">
        <f t="shared" si="2"/>
        <v>249.92985940542025</v>
      </c>
      <c r="H22" s="15">
        <f t="shared" si="4"/>
        <v>249.92985940542025</v>
      </c>
      <c r="J22" s="15"/>
    </row>
    <row r="23" spans="1:10" x14ac:dyDescent="0.25">
      <c r="A23" s="11" t="s">
        <v>35</v>
      </c>
      <c r="B23" s="12">
        <v>458.22</v>
      </c>
      <c r="C23" s="12"/>
      <c r="D23" s="26">
        <v>2.9999923517606782E-2</v>
      </c>
      <c r="E23" s="15">
        <f t="shared" si="2"/>
        <v>181.10953827579215</v>
      </c>
      <c r="H23" s="15">
        <f t="shared" si="4"/>
        <v>181.10953827579215</v>
      </c>
      <c r="J23" s="15"/>
    </row>
    <row r="24" spans="1:10" x14ac:dyDescent="0.25">
      <c r="A24" s="9" t="s">
        <v>36</v>
      </c>
      <c r="B24" s="13">
        <v>0</v>
      </c>
      <c r="C24" s="16"/>
      <c r="D24" s="26">
        <v>9.9999745058689266E-3</v>
      </c>
      <c r="E24" s="13">
        <f t="shared" si="2"/>
        <v>60.369846091930711</v>
      </c>
      <c r="F24" s="13"/>
      <c r="G24" s="13"/>
      <c r="H24" s="15">
        <f t="shared" si="4"/>
        <v>60.369846091930711</v>
      </c>
      <c r="J24" s="15"/>
    </row>
    <row r="25" spans="1:10" ht="15.75" thickBot="1" x14ac:dyDescent="0.3">
      <c r="A25" s="7" t="s">
        <v>37</v>
      </c>
      <c r="B25" s="23">
        <f>SUM(B10:B24)</f>
        <v>7637</v>
      </c>
      <c r="C25" s="23"/>
      <c r="D25" s="28">
        <v>1</v>
      </c>
      <c r="E25" s="23">
        <f>SUM(E10:E24)</f>
        <v>6036.9999999999982</v>
      </c>
      <c r="F25" s="23">
        <f t="shared" ref="F25:H25" si="5">SUM(F10:F24)</f>
        <v>175</v>
      </c>
      <c r="G25" s="23">
        <f t="shared" si="5"/>
        <v>1425</v>
      </c>
      <c r="H25" s="59">
        <f t="shared" si="5"/>
        <v>7636.9999999999982</v>
      </c>
      <c r="J25" s="15"/>
    </row>
    <row r="26" spans="1:10" ht="15.75" thickTop="1" x14ac:dyDescent="0.25"/>
    <row r="27" spans="1:10" x14ac:dyDescent="0.25">
      <c r="D27" s="26"/>
    </row>
    <row r="28" spans="1:10" x14ac:dyDescent="0.25">
      <c r="D28" s="26"/>
    </row>
    <row r="29" spans="1:10" x14ac:dyDescent="0.25">
      <c r="D29" s="26"/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49F2-FAC8-407F-800A-AB8C64FC1688}">
  <dimension ref="A1:E33"/>
  <sheetViews>
    <sheetView workbookViewId="0">
      <selection activeCell="H24" sqref="H24"/>
    </sheetView>
  </sheetViews>
  <sheetFormatPr defaultRowHeight="15" x14ac:dyDescent="0.25"/>
  <cols>
    <col min="1" max="1" width="19.5703125" bestFit="1" customWidth="1"/>
    <col min="2" max="2" width="10.7109375" customWidth="1"/>
    <col min="3" max="3" width="10.85546875" bestFit="1" customWidth="1"/>
  </cols>
  <sheetData>
    <row r="1" spans="1:5" x14ac:dyDescent="0.25">
      <c r="A1" s="55" t="s">
        <v>1</v>
      </c>
      <c r="B1" s="55"/>
      <c r="C1" s="55"/>
    </row>
    <row r="2" spans="1:5" x14ac:dyDescent="0.25">
      <c r="A2" s="55" t="s">
        <v>48</v>
      </c>
      <c r="B2" s="55"/>
      <c r="C2" s="55"/>
    </row>
    <row r="3" spans="1:5" ht="30" x14ac:dyDescent="0.25">
      <c r="A3" s="4" t="s">
        <v>18</v>
      </c>
      <c r="B3" s="10" t="s">
        <v>160</v>
      </c>
      <c r="C3" s="10" t="s">
        <v>164</v>
      </c>
    </row>
    <row r="4" spans="1:5" x14ac:dyDescent="0.25">
      <c r="A4" s="8" t="s">
        <v>19</v>
      </c>
      <c r="B4" s="12">
        <v>0</v>
      </c>
      <c r="C4" s="12">
        <v>1111.43</v>
      </c>
      <c r="D4" s="26">
        <f>+C4/$B$30</f>
        <v>0.10150045662100457</v>
      </c>
      <c r="E4" s="15"/>
    </row>
    <row r="5" spans="1:5" x14ac:dyDescent="0.25">
      <c r="A5" s="9" t="s">
        <v>20</v>
      </c>
      <c r="B5" s="12">
        <v>0</v>
      </c>
      <c r="C5" s="12">
        <v>1111.43</v>
      </c>
      <c r="D5" s="26">
        <f>+C5/$B$30</f>
        <v>0.10150045662100457</v>
      </c>
      <c r="E5" s="15"/>
    </row>
    <row r="6" spans="1:5" x14ac:dyDescent="0.25">
      <c r="A6" s="9" t="s">
        <v>21</v>
      </c>
      <c r="B6" s="12">
        <v>0</v>
      </c>
      <c r="C6" s="12">
        <v>1111.43</v>
      </c>
      <c r="D6" s="26">
        <f>+C6/$B$30</f>
        <v>0.10150045662100457</v>
      </c>
      <c r="E6" s="15"/>
    </row>
    <row r="7" spans="1:5" x14ac:dyDescent="0.25">
      <c r="A7" s="9" t="s">
        <v>22</v>
      </c>
      <c r="B7" s="12">
        <v>0</v>
      </c>
      <c r="C7" s="12">
        <v>1111.43</v>
      </c>
      <c r="D7" s="26">
        <f>+C7/$B$30</f>
        <v>0.10150045662100457</v>
      </c>
      <c r="E7" s="15"/>
    </row>
    <row r="8" spans="1:5" x14ac:dyDescent="0.25">
      <c r="A8" t="s">
        <v>23</v>
      </c>
      <c r="B8" s="16">
        <v>0</v>
      </c>
      <c r="C8" s="12">
        <v>591.29999999999995</v>
      </c>
      <c r="D8" s="26">
        <f>+C8/$B$30</f>
        <v>5.3999999999999992E-2</v>
      </c>
      <c r="E8" s="15"/>
    </row>
    <row r="9" spans="1:5" x14ac:dyDescent="0.25">
      <c r="A9" t="s">
        <v>39</v>
      </c>
      <c r="B9" s="13">
        <v>8212.5</v>
      </c>
      <c r="C9" s="13">
        <v>0</v>
      </c>
      <c r="E9" s="15"/>
    </row>
    <row r="10" spans="1:5" x14ac:dyDescent="0.25">
      <c r="A10" t="s">
        <v>24</v>
      </c>
      <c r="B10" s="14">
        <f>SUM(B4:B9)</f>
        <v>8212.5</v>
      </c>
      <c r="C10" s="14">
        <f>SUM(C4:C9)</f>
        <v>5037.0200000000004</v>
      </c>
    </row>
    <row r="11" spans="1:5" x14ac:dyDescent="0.25">
      <c r="B11" s="12"/>
      <c r="C11" s="12"/>
    </row>
    <row r="12" spans="1:5" x14ac:dyDescent="0.25">
      <c r="A12" t="s">
        <v>25</v>
      </c>
      <c r="B12" s="12">
        <v>0</v>
      </c>
      <c r="C12" s="12">
        <v>137.96807215497859</v>
      </c>
      <c r="D12" s="26">
        <f>+C12/$B$30</f>
        <v>1.2599823941093935E-2</v>
      </c>
    </row>
    <row r="13" spans="1:5" x14ac:dyDescent="0.25">
      <c r="A13" t="s">
        <v>26</v>
      </c>
      <c r="B13" s="12">
        <v>0</v>
      </c>
      <c r="C13" s="12">
        <v>81.031369523550907</v>
      </c>
      <c r="D13" s="26">
        <f>+C13/$B$30</f>
        <v>7.4001250706439183E-3</v>
      </c>
    </row>
    <row r="14" spans="1:5" x14ac:dyDescent="0.25">
      <c r="A14" t="s">
        <v>27</v>
      </c>
      <c r="B14" s="12">
        <v>2737.5</v>
      </c>
      <c r="C14" s="12">
        <v>1313.9966500711771</v>
      </c>
      <c r="D14" s="26">
        <f>+C14/$B$30</f>
        <v>0.11999969407042713</v>
      </c>
    </row>
    <row r="15" spans="1:5" x14ac:dyDescent="0.25">
      <c r="A15" t="s">
        <v>28</v>
      </c>
      <c r="B15" s="12">
        <v>0</v>
      </c>
      <c r="C15" s="12">
        <v>1423.4963709104416</v>
      </c>
      <c r="D15" s="26">
        <f>+C15/$B$30</f>
        <v>0.12999966857629602</v>
      </c>
    </row>
    <row r="16" spans="1:5" x14ac:dyDescent="0.25">
      <c r="A16" t="s">
        <v>40</v>
      </c>
      <c r="B16" s="12">
        <v>0</v>
      </c>
      <c r="C16" s="12">
        <v>0</v>
      </c>
    </row>
    <row r="17" spans="1:4" x14ac:dyDescent="0.25">
      <c r="A17" s="9" t="s">
        <v>41</v>
      </c>
      <c r="B17" s="12">
        <v>0</v>
      </c>
      <c r="C17" s="12">
        <v>0</v>
      </c>
    </row>
    <row r="18" spans="1:4" x14ac:dyDescent="0.25">
      <c r="A18" t="s">
        <v>29</v>
      </c>
      <c r="B18" s="12">
        <v>0</v>
      </c>
      <c r="C18" s="12">
        <v>273.74930209816182</v>
      </c>
      <c r="D18" s="26">
        <f>+C18/$B$30</f>
        <v>2.4999936264672312E-2</v>
      </c>
    </row>
    <row r="19" spans="1:4" x14ac:dyDescent="0.25">
      <c r="A19" s="9" t="s">
        <v>30</v>
      </c>
      <c r="B19" s="12">
        <v>0</v>
      </c>
      <c r="C19" s="12">
        <v>273.74930209816182</v>
      </c>
      <c r="D19" s="26">
        <f>+C19/$B$30</f>
        <v>2.4999936264672312E-2</v>
      </c>
    </row>
    <row r="20" spans="1:4" x14ac:dyDescent="0.25">
      <c r="A20" s="9" t="s">
        <v>38</v>
      </c>
      <c r="B20" s="12">
        <v>0</v>
      </c>
      <c r="C20" s="12">
        <v>0</v>
      </c>
    </row>
    <row r="21" spans="1:4" x14ac:dyDescent="0.25">
      <c r="A21" t="s">
        <v>31</v>
      </c>
      <c r="B21" s="12">
        <v>0</v>
      </c>
      <c r="C21" s="12">
        <v>394.19800995729372</v>
      </c>
      <c r="D21" s="26">
        <f t="shared" ref="D21:D26" si="0">+C21/$B$30</f>
        <v>3.5999818260940064E-2</v>
      </c>
    </row>
    <row r="22" spans="1:4" x14ac:dyDescent="0.25">
      <c r="A22" t="s">
        <v>32</v>
      </c>
      <c r="B22" s="12">
        <v>0</v>
      </c>
      <c r="C22" s="12">
        <v>453.32648012081359</v>
      </c>
      <c r="D22" s="26">
        <f t="shared" si="0"/>
        <v>4.139967854984599E-2</v>
      </c>
    </row>
    <row r="23" spans="1:4" x14ac:dyDescent="0.25">
      <c r="A23" t="s">
        <v>33</v>
      </c>
      <c r="B23" s="12">
        <v>0</v>
      </c>
      <c r="C23" s="12">
        <v>670.13907958754771</v>
      </c>
      <c r="D23" s="26">
        <f t="shared" si="0"/>
        <v>6.1199915944068282E-2</v>
      </c>
    </row>
    <row r="24" spans="1:4" x14ac:dyDescent="0.25">
      <c r="A24" t="s">
        <v>34</v>
      </c>
      <c r="B24" s="12">
        <v>0</v>
      </c>
      <c r="C24" s="12">
        <v>453.32648012081359</v>
      </c>
      <c r="D24" s="26">
        <f t="shared" si="0"/>
        <v>4.139967854984599E-2</v>
      </c>
    </row>
    <row r="25" spans="1:4" x14ac:dyDescent="0.25">
      <c r="A25" s="11" t="s">
        <v>35</v>
      </c>
      <c r="B25" s="12">
        <v>0</v>
      </c>
      <c r="C25" s="12">
        <v>328.49916251779428</v>
      </c>
      <c r="D25" s="26">
        <f t="shared" si="0"/>
        <v>2.9999923517606782E-2</v>
      </c>
    </row>
    <row r="26" spans="1:4" x14ac:dyDescent="0.25">
      <c r="A26" s="9" t="s">
        <v>36</v>
      </c>
      <c r="B26" s="16">
        <v>0</v>
      </c>
      <c r="C26" s="16">
        <v>109.49972083926474</v>
      </c>
      <c r="D26" s="26">
        <f t="shared" si="0"/>
        <v>9.9999745058689266E-3</v>
      </c>
    </row>
    <row r="27" spans="1:4" x14ac:dyDescent="0.25">
      <c r="A27" s="9" t="s">
        <v>42</v>
      </c>
      <c r="B27" s="16">
        <v>0</v>
      </c>
      <c r="C27" s="16">
        <v>0</v>
      </c>
    </row>
    <row r="28" spans="1:4" x14ac:dyDescent="0.25">
      <c r="A28" s="9" t="s">
        <v>43</v>
      </c>
      <c r="B28" s="16">
        <v>0</v>
      </c>
      <c r="C28" s="16">
        <v>0</v>
      </c>
    </row>
    <row r="29" spans="1:4" x14ac:dyDescent="0.25">
      <c r="A29" s="9" t="s">
        <v>44</v>
      </c>
      <c r="B29" s="16">
        <v>0</v>
      </c>
      <c r="C29" s="16">
        <v>0</v>
      </c>
    </row>
    <row r="30" spans="1:4" ht="15.75" thickBot="1" x14ac:dyDescent="0.3">
      <c r="A30" s="7" t="s">
        <v>37</v>
      </c>
      <c r="B30" s="23">
        <f>SUM(B10:B29)</f>
        <v>10950</v>
      </c>
      <c r="C30" s="23">
        <f>SUM(C10:C29)</f>
        <v>10949.999999999998</v>
      </c>
      <c r="D30" s="28">
        <f>SUM(D4:D29)</f>
        <v>1</v>
      </c>
    </row>
    <row r="31" spans="1:4" ht="15.75" thickTop="1" x14ac:dyDescent="0.25"/>
    <row r="32" spans="1:4" x14ac:dyDescent="0.25">
      <c r="B32" s="15"/>
      <c r="C32" s="15">
        <f>+B30-C30</f>
        <v>0</v>
      </c>
    </row>
    <row r="33" spans="3:3" x14ac:dyDescent="0.25">
      <c r="C33" s="15"/>
    </row>
  </sheetData>
  <mergeCells count="2"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334E-9E35-4E71-A0FB-2445D83E814B}">
  <dimension ref="A1:F25"/>
  <sheetViews>
    <sheetView workbookViewId="0">
      <selection activeCell="J25" sqref="J25"/>
    </sheetView>
  </sheetViews>
  <sheetFormatPr defaultRowHeight="15" x14ac:dyDescent="0.25"/>
  <cols>
    <col min="1" max="1" width="19.5703125" bestFit="1" customWidth="1"/>
    <col min="2" max="2" width="10.7109375" customWidth="1"/>
    <col min="3" max="3" width="10.85546875" bestFit="1" customWidth="1"/>
    <col min="6" max="6" width="11.28515625" bestFit="1" customWidth="1"/>
  </cols>
  <sheetData>
    <row r="1" spans="1:6" x14ac:dyDescent="0.25">
      <c r="A1" s="54" t="s">
        <v>10</v>
      </c>
      <c r="B1" s="54"/>
      <c r="C1" s="54"/>
    </row>
    <row r="3" spans="1:6" ht="30" x14ac:dyDescent="0.25">
      <c r="A3" s="4" t="s">
        <v>18</v>
      </c>
      <c r="B3" s="10" t="s">
        <v>160</v>
      </c>
      <c r="C3" s="10" t="s">
        <v>164</v>
      </c>
    </row>
    <row r="4" spans="1:6" x14ac:dyDescent="0.25">
      <c r="A4" s="8" t="s">
        <v>19</v>
      </c>
      <c r="B4" s="12">
        <v>0</v>
      </c>
      <c r="C4" s="12">
        <v>8120</v>
      </c>
      <c r="D4" s="26">
        <f>+C4/$B$24</f>
        <v>0.10150000000000001</v>
      </c>
    </row>
    <row r="5" spans="1:6" x14ac:dyDescent="0.25">
      <c r="A5" s="9" t="s">
        <v>20</v>
      </c>
      <c r="B5" s="12">
        <v>0</v>
      </c>
      <c r="C5" s="12">
        <v>8120</v>
      </c>
      <c r="D5" s="26">
        <f>+C5/$B$24</f>
        <v>0.10150000000000001</v>
      </c>
    </row>
    <row r="6" spans="1:6" x14ac:dyDescent="0.25">
      <c r="A6" s="9" t="s">
        <v>21</v>
      </c>
      <c r="B6" s="12">
        <v>0</v>
      </c>
      <c r="C6" s="12">
        <v>8120</v>
      </c>
      <c r="D6" s="26">
        <f>+C6/$B$24</f>
        <v>0.10150000000000001</v>
      </c>
    </row>
    <row r="7" spans="1:6" x14ac:dyDescent="0.25">
      <c r="A7" s="9" t="s">
        <v>22</v>
      </c>
      <c r="B7" s="12">
        <v>0</v>
      </c>
      <c r="C7" s="12">
        <v>8120</v>
      </c>
      <c r="D7" s="26">
        <f>+C7/$B$24</f>
        <v>0.10150000000000001</v>
      </c>
    </row>
    <row r="8" spans="1:6" x14ac:dyDescent="0.25">
      <c r="A8" t="s">
        <v>23</v>
      </c>
      <c r="B8" s="16">
        <v>0</v>
      </c>
      <c r="C8" s="16">
        <v>4320</v>
      </c>
      <c r="D8" s="26">
        <f>+C8/$B$24</f>
        <v>5.3999999999999999E-2</v>
      </c>
    </row>
    <row r="9" spans="1:6" x14ac:dyDescent="0.25">
      <c r="A9" t="s">
        <v>39</v>
      </c>
      <c r="B9" s="13">
        <v>80000</v>
      </c>
      <c r="C9" s="13">
        <v>0</v>
      </c>
      <c r="D9" s="27"/>
    </row>
    <row r="10" spans="1:6" x14ac:dyDescent="0.25">
      <c r="A10" t="s">
        <v>24</v>
      </c>
      <c r="B10" s="14">
        <f>SUM(B4:B9)</f>
        <v>80000</v>
      </c>
      <c r="C10" s="14">
        <f>SUM(C4:C9)</f>
        <v>36800</v>
      </c>
      <c r="D10" s="27"/>
      <c r="F10" s="15">
        <f>+C10-B10</f>
        <v>-43200</v>
      </c>
    </row>
    <row r="11" spans="1:6" x14ac:dyDescent="0.25">
      <c r="B11" s="12"/>
      <c r="C11" s="12"/>
      <c r="D11" s="27"/>
    </row>
    <row r="12" spans="1:6" x14ac:dyDescent="0.25">
      <c r="A12" t="s">
        <v>25</v>
      </c>
      <c r="B12" s="12">
        <v>0</v>
      </c>
      <c r="C12" s="12">
        <v>1008</v>
      </c>
      <c r="D12" s="26">
        <f t="shared" ref="D12:D23" si="0">+C12/$B$24</f>
        <v>1.26E-2</v>
      </c>
    </row>
    <row r="13" spans="1:6" x14ac:dyDescent="0.25">
      <c r="A13" t="s">
        <v>26</v>
      </c>
      <c r="B13" s="12">
        <v>0</v>
      </c>
      <c r="C13" s="12">
        <v>592</v>
      </c>
      <c r="D13" s="26">
        <f t="shared" si="0"/>
        <v>7.4000000000000003E-3</v>
      </c>
    </row>
    <row r="14" spans="1:6" x14ac:dyDescent="0.25">
      <c r="A14" t="s">
        <v>27</v>
      </c>
      <c r="B14" s="12">
        <v>0</v>
      </c>
      <c r="C14" s="12">
        <v>9600</v>
      </c>
      <c r="D14" s="26">
        <f t="shared" si="0"/>
        <v>0.12</v>
      </c>
    </row>
    <row r="15" spans="1:6" x14ac:dyDescent="0.25">
      <c r="A15" t="s">
        <v>28</v>
      </c>
      <c r="B15" s="12">
        <v>0</v>
      </c>
      <c r="C15" s="12">
        <v>10400</v>
      </c>
      <c r="D15" s="26">
        <f t="shared" si="0"/>
        <v>0.13</v>
      </c>
    </row>
    <row r="16" spans="1:6" x14ac:dyDescent="0.25">
      <c r="A16" t="s">
        <v>29</v>
      </c>
      <c r="B16" s="12">
        <v>0</v>
      </c>
      <c r="C16" s="12">
        <v>2000</v>
      </c>
      <c r="D16" s="26">
        <f t="shared" si="0"/>
        <v>2.5000000000000001E-2</v>
      </c>
    </row>
    <row r="17" spans="1:4" x14ac:dyDescent="0.25">
      <c r="A17" s="9" t="s">
        <v>30</v>
      </c>
      <c r="B17" s="12">
        <v>0</v>
      </c>
      <c r="C17" s="12">
        <v>2000</v>
      </c>
      <c r="D17" s="26">
        <f t="shared" si="0"/>
        <v>2.5000000000000001E-2</v>
      </c>
    </row>
    <row r="18" spans="1:4" x14ac:dyDescent="0.25">
      <c r="A18" t="s">
        <v>31</v>
      </c>
      <c r="B18" s="12">
        <v>0</v>
      </c>
      <c r="C18" s="12">
        <v>2880</v>
      </c>
      <c r="D18" s="26">
        <f t="shared" si="0"/>
        <v>3.5999999999999997E-2</v>
      </c>
    </row>
    <row r="19" spans="1:4" x14ac:dyDescent="0.25">
      <c r="A19" t="s">
        <v>32</v>
      </c>
      <c r="B19" s="12">
        <v>0</v>
      </c>
      <c r="C19" s="12">
        <v>3312</v>
      </c>
      <c r="D19" s="26">
        <f t="shared" si="0"/>
        <v>4.1399999999999999E-2</v>
      </c>
    </row>
    <row r="20" spans="1:4" x14ac:dyDescent="0.25">
      <c r="A20" t="s">
        <v>33</v>
      </c>
      <c r="B20" s="12">
        <v>0</v>
      </c>
      <c r="C20" s="12">
        <v>4896</v>
      </c>
      <c r="D20" s="26">
        <f t="shared" si="0"/>
        <v>6.1199999999999997E-2</v>
      </c>
    </row>
    <row r="21" spans="1:4" x14ac:dyDescent="0.25">
      <c r="A21" t="s">
        <v>34</v>
      </c>
      <c r="B21" s="12">
        <v>0</v>
      </c>
      <c r="C21" s="12">
        <v>3312</v>
      </c>
      <c r="D21" s="26">
        <f t="shared" si="0"/>
        <v>4.1399999999999999E-2</v>
      </c>
    </row>
    <row r="22" spans="1:4" x14ac:dyDescent="0.25">
      <c r="A22" s="11" t="s">
        <v>35</v>
      </c>
      <c r="B22" s="12">
        <v>0</v>
      </c>
      <c r="C22" s="12">
        <v>2400</v>
      </c>
      <c r="D22" s="26">
        <f t="shared" si="0"/>
        <v>0.03</v>
      </c>
    </row>
    <row r="23" spans="1:4" x14ac:dyDescent="0.25">
      <c r="A23" s="9" t="s">
        <v>36</v>
      </c>
      <c r="B23" s="13">
        <v>0</v>
      </c>
      <c r="C23" s="13">
        <v>800</v>
      </c>
      <c r="D23" s="26">
        <f t="shared" si="0"/>
        <v>0.01</v>
      </c>
    </row>
    <row r="24" spans="1:4" ht="15.75" thickBot="1" x14ac:dyDescent="0.3">
      <c r="A24" s="7" t="s">
        <v>37</v>
      </c>
      <c r="B24" s="23">
        <f>SUM(B10:B23)</f>
        <v>80000</v>
      </c>
      <c r="C24" s="23">
        <f>SUM(C10:C23)</f>
        <v>80000</v>
      </c>
      <c r="D24" s="28">
        <f>SUM(D4:D23)</f>
        <v>1.0000000000000002</v>
      </c>
    </row>
    <row r="25" spans="1:4" ht="15.75" thickTop="1" x14ac:dyDescent="0.25"/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7B47-89F0-4D39-A0AC-B5E91F79C7C0}">
  <dimension ref="A1:P33"/>
  <sheetViews>
    <sheetView workbookViewId="0">
      <selection activeCell="P4" sqref="P4"/>
    </sheetView>
  </sheetViews>
  <sheetFormatPr defaultRowHeight="15" x14ac:dyDescent="0.25"/>
  <cols>
    <col min="1" max="1" width="19.5703125" bestFit="1" customWidth="1"/>
    <col min="2" max="2" width="10.7109375" hidden="1" customWidth="1"/>
    <col min="3" max="3" width="10.85546875" hidden="1" customWidth="1"/>
    <col min="4" max="6" width="0" hidden="1" customWidth="1"/>
    <col min="7" max="8" width="10.7109375" customWidth="1"/>
    <col min="10" max="11" width="10.85546875" hidden="1" customWidth="1"/>
    <col min="12" max="12" width="9.85546875" bestFit="1" customWidth="1"/>
    <col min="15" max="16" width="10.85546875" bestFit="1" customWidth="1"/>
  </cols>
  <sheetData>
    <row r="1" spans="1:16" x14ac:dyDescent="0.25">
      <c r="A1" s="54" t="s">
        <v>11</v>
      </c>
      <c r="B1" s="54"/>
      <c r="C1" s="54"/>
      <c r="J1" s="34" t="s">
        <v>63</v>
      </c>
    </row>
    <row r="2" spans="1:16" ht="30" x14ac:dyDescent="0.25">
      <c r="J2" t="s">
        <v>62</v>
      </c>
      <c r="L2" t="s">
        <v>53</v>
      </c>
      <c r="M2" s="43" t="s">
        <v>140</v>
      </c>
      <c r="N2" s="43" t="s">
        <v>140</v>
      </c>
      <c r="O2" t="s">
        <v>141</v>
      </c>
    </row>
    <row r="3" spans="1:16" ht="45" x14ac:dyDescent="0.25">
      <c r="A3" s="4" t="s">
        <v>18</v>
      </c>
      <c r="B3" s="10" t="s">
        <v>160</v>
      </c>
      <c r="C3" s="10" t="s">
        <v>164</v>
      </c>
      <c r="G3" s="10" t="s">
        <v>160</v>
      </c>
      <c r="H3" s="10" t="s">
        <v>51</v>
      </c>
      <c r="I3" s="47" t="s">
        <v>54</v>
      </c>
      <c r="J3" s="10" t="s">
        <v>52</v>
      </c>
      <c r="K3" s="30"/>
      <c r="L3" s="45">
        <f>+'Staples Invoice Detail '!J44</f>
        <v>4950.8500000000004</v>
      </c>
      <c r="M3" s="32" t="s">
        <v>55</v>
      </c>
      <c r="N3" s="44">
        <f>+'Staples Invoice Detail '!K44</f>
        <v>918.99</v>
      </c>
      <c r="O3" s="45">
        <f>+'Staples Invoice Detail '!I44</f>
        <v>12190.61</v>
      </c>
      <c r="P3" s="10" t="s">
        <v>146</v>
      </c>
    </row>
    <row r="4" spans="1:16" x14ac:dyDescent="0.25">
      <c r="A4" s="8" t="s">
        <v>19</v>
      </c>
      <c r="B4" s="12">
        <v>0</v>
      </c>
      <c r="C4" s="12">
        <v>1968.74</v>
      </c>
      <c r="D4" s="26">
        <f>+C4/$B$30</f>
        <v>0.10900835804201998</v>
      </c>
      <c r="E4" s="15" t="s">
        <v>95</v>
      </c>
      <c r="G4" s="12">
        <v>0</v>
      </c>
      <c r="H4" s="12"/>
      <c r="I4" s="48">
        <v>0.10150045662100457</v>
      </c>
      <c r="J4" s="12">
        <v>1968.74</v>
      </c>
      <c r="K4" s="12"/>
      <c r="L4" s="31">
        <f>ROUND($L$3*I4,2)</f>
        <v>502.51</v>
      </c>
      <c r="O4" s="41">
        <f>+'Staples Invoice Detail '!I40+'Staples Invoice Detail '!I11+'Staples Invoice Detail '!I13+'Staples Invoice Detail '!I24</f>
        <v>5620.75</v>
      </c>
      <c r="P4" s="41">
        <f t="shared" ref="P4:P9" si="0">SUM(N4:O4)+L4</f>
        <v>6123.26</v>
      </c>
    </row>
    <row r="5" spans="1:16" x14ac:dyDescent="0.25">
      <c r="A5" s="9" t="s">
        <v>20</v>
      </c>
      <c r="B5" s="12">
        <v>0</v>
      </c>
      <c r="C5" s="12">
        <v>1968.74</v>
      </c>
      <c r="D5" s="26">
        <f>+C5/$B$30</f>
        <v>0.10900835804201998</v>
      </c>
      <c r="E5" s="15" t="s">
        <v>98</v>
      </c>
      <c r="G5" s="12">
        <v>0</v>
      </c>
      <c r="H5" s="12"/>
      <c r="I5" s="48">
        <v>0.10150045662100457</v>
      </c>
      <c r="J5" s="12">
        <v>1968.74</v>
      </c>
      <c r="K5" s="12"/>
      <c r="L5" s="31">
        <f>ROUND($L$3*I5,2)</f>
        <v>502.51</v>
      </c>
      <c r="O5" s="41">
        <f>+'Staples Invoice Detail '!I42+'Staples Invoice Detail '!I25+'Staples Invoice Detail '!I12</f>
        <v>1974.91</v>
      </c>
      <c r="P5" s="41">
        <f t="shared" si="0"/>
        <v>2477.42</v>
      </c>
    </row>
    <row r="6" spans="1:16" x14ac:dyDescent="0.25">
      <c r="A6" s="9" t="s">
        <v>21</v>
      </c>
      <c r="B6" s="12">
        <v>0</v>
      </c>
      <c r="C6" s="12">
        <v>1968.74</v>
      </c>
      <c r="D6" s="26">
        <f>+C6/$B$30</f>
        <v>0.10900835804201998</v>
      </c>
      <c r="E6" s="15" t="s">
        <v>142</v>
      </c>
      <c r="G6" s="12">
        <v>0</v>
      </c>
      <c r="H6" s="12"/>
      <c r="I6" s="48">
        <v>0.10150045662100457</v>
      </c>
      <c r="J6" s="12">
        <v>1968.74</v>
      </c>
      <c r="K6" s="12"/>
      <c r="L6" s="31">
        <f>ROUND($L$3*I6,2)</f>
        <v>502.51</v>
      </c>
      <c r="O6" s="41">
        <f>+'Staples Invoice Detail '!I23</f>
        <v>918.99</v>
      </c>
      <c r="P6" s="41">
        <f t="shared" si="0"/>
        <v>1421.5</v>
      </c>
    </row>
    <row r="7" spans="1:16" x14ac:dyDescent="0.25">
      <c r="A7" s="9" t="s">
        <v>22</v>
      </c>
      <c r="B7" s="12">
        <v>0</v>
      </c>
      <c r="C7" s="12">
        <v>1968.74</v>
      </c>
      <c r="D7" s="26">
        <f>+C7/$B$30</f>
        <v>0.10900835804201998</v>
      </c>
      <c r="E7" s="15" t="s">
        <v>143</v>
      </c>
      <c r="G7" s="12">
        <v>0</v>
      </c>
      <c r="H7" s="12"/>
      <c r="I7" s="48">
        <v>0.10150045662100457</v>
      </c>
      <c r="J7" s="12">
        <v>1968.74</v>
      </c>
      <c r="K7" s="12"/>
      <c r="L7" s="31">
        <f>ROUND($L$3*I7,2)</f>
        <v>502.51</v>
      </c>
      <c r="O7" s="41">
        <f>+'Staples Invoice Detail '!I21+'Staples Invoice Detail '!I22</f>
        <v>1837.98</v>
      </c>
      <c r="P7" s="41">
        <f t="shared" si="0"/>
        <v>2340.4899999999998</v>
      </c>
    </row>
    <row r="8" spans="1:16" x14ac:dyDescent="0.25">
      <c r="A8" t="s">
        <v>23</v>
      </c>
      <c r="B8" s="16">
        <v>0</v>
      </c>
      <c r="C8" s="12">
        <v>1047.4100000000001</v>
      </c>
      <c r="D8" s="26">
        <f>+C8/$B$30</f>
        <v>5.7994678980867034E-2</v>
      </c>
      <c r="E8" s="15" t="s">
        <v>144</v>
      </c>
      <c r="G8" s="16">
        <v>0</v>
      </c>
      <c r="H8" s="16"/>
      <c r="I8" s="48">
        <v>5.3999999999999992E-2</v>
      </c>
      <c r="J8" s="12">
        <v>1047.4100000000001</v>
      </c>
      <c r="K8" s="12"/>
      <c r="L8" s="31">
        <f>ROUND(+I8*L3,2)+0.01</f>
        <v>267.36</v>
      </c>
      <c r="P8" s="41">
        <f t="shared" si="0"/>
        <v>267.36</v>
      </c>
    </row>
    <row r="9" spans="1:16" x14ac:dyDescent="0.25">
      <c r="A9" t="s">
        <v>39</v>
      </c>
      <c r="B9" s="13">
        <v>18060.45</v>
      </c>
      <c r="C9" s="13">
        <v>0</v>
      </c>
      <c r="D9" s="27"/>
      <c r="E9" s="15"/>
      <c r="G9" s="13">
        <v>18060.45</v>
      </c>
      <c r="H9" s="13"/>
      <c r="I9" s="47"/>
      <c r="J9" s="13">
        <v>0</v>
      </c>
      <c r="K9" s="16"/>
      <c r="L9" s="31"/>
      <c r="O9" s="41">
        <f>+'Staples Invoice Detail '!I19+'Staples Invoice Detail '!I20</f>
        <v>1837.98</v>
      </c>
      <c r="P9" s="41">
        <f t="shared" si="0"/>
        <v>1837.98</v>
      </c>
    </row>
    <row r="10" spans="1:16" x14ac:dyDescent="0.25">
      <c r="A10" t="s">
        <v>24</v>
      </c>
      <c r="B10" s="14">
        <f>SUM(B4:B9)</f>
        <v>18060.45</v>
      </c>
      <c r="C10" s="14">
        <f>SUM(C4:C9)</f>
        <v>8922.3700000000008</v>
      </c>
      <c r="G10" s="14">
        <f>SUM(G4:G9)</f>
        <v>18060.45</v>
      </c>
      <c r="H10" s="14"/>
      <c r="I10" s="47"/>
      <c r="J10" s="14">
        <f>SUM(J4:J9)</f>
        <v>8922.3700000000008</v>
      </c>
      <c r="K10" s="16"/>
      <c r="P10" s="14">
        <f>SUM(P4:P9)</f>
        <v>14468.01</v>
      </c>
    </row>
    <row r="11" spans="1:16" x14ac:dyDescent="0.25">
      <c r="B11" s="12"/>
      <c r="C11" s="12"/>
      <c r="G11" s="12"/>
      <c r="H11" s="12"/>
      <c r="I11" s="47"/>
      <c r="J11" s="12"/>
      <c r="K11" s="12"/>
    </row>
    <row r="12" spans="1:16" x14ac:dyDescent="0.25">
      <c r="A12" t="s">
        <v>25</v>
      </c>
      <c r="B12" s="12">
        <v>0</v>
      </c>
      <c r="C12" s="12">
        <v>213.2196085219241</v>
      </c>
      <c r="D12" s="25">
        <f t="shared" ref="D12:D26" si="1">+C12/$B$30</f>
        <v>1.1805885707273301E-2</v>
      </c>
      <c r="G12" s="12">
        <v>0</v>
      </c>
      <c r="H12" s="12"/>
      <c r="I12" s="48">
        <v>1.2599823941093935E-2</v>
      </c>
      <c r="J12" s="12">
        <v>213.2196085219241</v>
      </c>
      <c r="K12" s="12" t="s">
        <v>59</v>
      </c>
      <c r="L12" s="31">
        <f>ROUND(+$L$3*I12,2)</f>
        <v>62.38</v>
      </c>
      <c r="M12" s="33">
        <v>0.15</v>
      </c>
      <c r="N12">
        <f>ROUND(+M12*$N$3,2)</f>
        <v>137.85</v>
      </c>
      <c r="P12" s="41">
        <f t="shared" ref="P12:P26" si="2">SUM(N12:O12)+L12</f>
        <v>200.23</v>
      </c>
    </row>
    <row r="13" spans="1:16" x14ac:dyDescent="0.25">
      <c r="A13" t="s">
        <v>26</v>
      </c>
      <c r="B13" s="12">
        <v>0</v>
      </c>
      <c r="C13" s="12">
        <v>125.22808080118149</v>
      </c>
      <c r="D13" s="25">
        <f t="shared" si="1"/>
        <v>6.9338294893638575E-3</v>
      </c>
      <c r="G13" s="12">
        <v>0</v>
      </c>
      <c r="H13" s="12"/>
      <c r="I13" s="48">
        <v>7.4001250706439183E-3</v>
      </c>
      <c r="J13" s="12">
        <v>125.22808080118149</v>
      </c>
      <c r="K13" s="12" t="s">
        <v>60</v>
      </c>
      <c r="L13" s="31">
        <f>ROUND(+$L$3*I13,2)</f>
        <v>36.64</v>
      </c>
      <c r="M13" s="33">
        <v>0.09</v>
      </c>
      <c r="N13">
        <f>ROUND(+M13*$N$3,2)</f>
        <v>82.71</v>
      </c>
      <c r="P13" s="41">
        <f t="shared" si="2"/>
        <v>119.35</v>
      </c>
    </row>
    <row r="14" spans="1:16" x14ac:dyDescent="0.25">
      <c r="A14" t="s">
        <v>27</v>
      </c>
      <c r="B14" s="12">
        <v>0</v>
      </c>
      <c r="C14" s="12">
        <v>2030.6861359386337</v>
      </c>
      <c r="D14" s="25">
        <f t="shared" si="1"/>
        <v>0.11243829117982296</v>
      </c>
      <c r="G14" s="12">
        <v>0</v>
      </c>
      <c r="H14" s="12"/>
      <c r="I14" s="48">
        <v>0.11999969407042713</v>
      </c>
      <c r="J14" s="12">
        <v>2030.6861359386337</v>
      </c>
      <c r="K14" s="12"/>
      <c r="L14" s="31">
        <f>ROUND(+$L$3*I14,2)</f>
        <v>594.1</v>
      </c>
      <c r="P14" s="41">
        <f t="shared" si="2"/>
        <v>594.1</v>
      </c>
    </row>
    <row r="15" spans="1:16" x14ac:dyDescent="0.25">
      <c r="A15" t="s">
        <v>28</v>
      </c>
      <c r="B15" s="12">
        <v>0</v>
      </c>
      <c r="C15" s="12">
        <v>2199.9099806001864</v>
      </c>
      <c r="D15" s="25">
        <f t="shared" si="1"/>
        <v>0.12180814877814153</v>
      </c>
      <c r="G15" s="12">
        <v>0</v>
      </c>
      <c r="H15" s="12"/>
      <c r="I15" s="48">
        <v>0.12999966857629602</v>
      </c>
      <c r="J15" s="12">
        <v>2199.9099806001864</v>
      </c>
      <c r="K15" s="12" t="s">
        <v>58</v>
      </c>
      <c r="L15" s="31">
        <f>ROUND(+$L$3*I15,2)</f>
        <v>643.61</v>
      </c>
      <c r="M15" s="27">
        <v>0.14080000000000001</v>
      </c>
      <c r="N15">
        <f>ROUND(+M15*$N$3,2)</f>
        <v>129.38999999999999</v>
      </c>
      <c r="P15" s="41">
        <f t="shared" si="2"/>
        <v>773</v>
      </c>
    </row>
    <row r="16" spans="1:16" x14ac:dyDescent="0.25">
      <c r="A16" t="s">
        <v>40</v>
      </c>
      <c r="B16" s="12">
        <v>0</v>
      </c>
      <c r="C16" s="12">
        <v>0</v>
      </c>
      <c r="D16" s="25"/>
      <c r="G16" s="12">
        <v>0</v>
      </c>
      <c r="H16" s="12"/>
      <c r="I16" s="47"/>
      <c r="J16" s="12">
        <v>0</v>
      </c>
      <c r="K16" s="12"/>
      <c r="L16" s="12"/>
      <c r="P16" s="41">
        <f t="shared" si="2"/>
        <v>0</v>
      </c>
    </row>
    <row r="17" spans="1:16" x14ac:dyDescent="0.25">
      <c r="A17" s="9" t="s">
        <v>41</v>
      </c>
      <c r="B17" s="12">
        <v>0</v>
      </c>
      <c r="C17" s="12">
        <v>0</v>
      </c>
      <c r="D17" s="25"/>
      <c r="G17" s="12">
        <v>0</v>
      </c>
      <c r="H17" s="12"/>
      <c r="I17" s="47"/>
      <c r="J17" s="12">
        <v>0</v>
      </c>
      <c r="K17" s="12"/>
      <c r="L17" s="12"/>
      <c r="P17" s="41">
        <f t="shared" si="2"/>
        <v>0</v>
      </c>
    </row>
    <row r="18" spans="1:16" x14ac:dyDescent="0.25">
      <c r="A18" t="s">
        <v>29</v>
      </c>
      <c r="B18" s="12">
        <v>0</v>
      </c>
      <c r="C18" s="12">
        <v>423.06</v>
      </c>
      <c r="D18" s="25">
        <f t="shared" si="1"/>
        <v>2.342466549836798E-2</v>
      </c>
      <c r="G18" s="12">
        <v>0</v>
      </c>
      <c r="H18" s="12"/>
      <c r="I18" s="48">
        <v>2.4999936264672312E-2</v>
      </c>
      <c r="J18" s="12">
        <v>423.06</v>
      </c>
      <c r="K18" s="12" t="s">
        <v>57</v>
      </c>
      <c r="L18" s="31">
        <f>ROUND(+$L$3*I18,2)</f>
        <v>123.77</v>
      </c>
      <c r="M18" s="27">
        <v>2.9600000000000001E-2</v>
      </c>
      <c r="N18">
        <f>ROUND(+M18*$N$3,2)</f>
        <v>27.2</v>
      </c>
      <c r="P18" s="41">
        <f t="shared" si="2"/>
        <v>150.97</v>
      </c>
    </row>
    <row r="19" spans="1:16" x14ac:dyDescent="0.25">
      <c r="A19" s="9" t="s">
        <v>30</v>
      </c>
      <c r="B19" s="12">
        <v>0</v>
      </c>
      <c r="C19" s="12">
        <v>423.06</v>
      </c>
      <c r="D19" s="25">
        <f t="shared" si="1"/>
        <v>2.342466549836798E-2</v>
      </c>
      <c r="G19" s="12">
        <v>0</v>
      </c>
      <c r="H19" s="12"/>
      <c r="I19" s="48">
        <v>2.4999936264672312E-2</v>
      </c>
      <c r="J19" s="12">
        <v>423.06</v>
      </c>
      <c r="K19" s="12" t="s">
        <v>61</v>
      </c>
      <c r="L19" s="31">
        <f>ROUND(+$L$3*I19,2)</f>
        <v>123.77</v>
      </c>
      <c r="M19" s="27">
        <v>3.4799999999999998E-2</v>
      </c>
      <c r="N19">
        <f>ROUND(+M19*$N$3,2)</f>
        <v>31.98</v>
      </c>
      <c r="P19" s="41">
        <f t="shared" si="2"/>
        <v>155.75</v>
      </c>
    </row>
    <row r="20" spans="1:16" x14ac:dyDescent="0.25">
      <c r="A20" s="9" t="s">
        <v>38</v>
      </c>
      <c r="B20" s="12">
        <v>0</v>
      </c>
      <c r="C20" s="12">
        <v>0</v>
      </c>
      <c r="D20" s="25"/>
      <c r="G20" s="12">
        <v>0</v>
      </c>
      <c r="H20" s="12"/>
      <c r="I20" s="47"/>
      <c r="J20" s="12">
        <v>0</v>
      </c>
      <c r="K20" s="12"/>
      <c r="L20" s="31"/>
      <c r="P20" s="41">
        <f t="shared" si="2"/>
        <v>0</v>
      </c>
    </row>
    <row r="21" spans="1:16" x14ac:dyDescent="0.25">
      <c r="A21" t="s">
        <v>31</v>
      </c>
      <c r="B21" s="12">
        <v>0</v>
      </c>
      <c r="C21" s="12">
        <v>609.2043184368199</v>
      </c>
      <c r="D21" s="25">
        <f t="shared" si="1"/>
        <v>3.3731403062316825E-2</v>
      </c>
      <c r="G21" s="12">
        <v>0</v>
      </c>
      <c r="H21" s="12"/>
      <c r="I21" s="48">
        <v>3.5999818260940064E-2</v>
      </c>
      <c r="J21" s="12">
        <v>609.2043184368199</v>
      </c>
      <c r="K21" s="12"/>
      <c r="L21" s="31">
        <f t="shared" ref="L21:L26" si="3">ROUND(+$L$3*I21,2)</f>
        <v>178.23</v>
      </c>
      <c r="P21" s="41">
        <f t="shared" si="2"/>
        <v>178.23</v>
      </c>
    </row>
    <row r="22" spans="1:16" x14ac:dyDescent="0.25">
      <c r="A22" t="s">
        <v>32</v>
      </c>
      <c r="B22" s="12">
        <v>0</v>
      </c>
      <c r="C22" s="12">
        <v>700.58306327137996</v>
      </c>
      <c r="D22" s="25">
        <f t="shared" si="1"/>
        <v>3.8791008157126758E-2</v>
      </c>
      <c r="G22" s="12">
        <v>0</v>
      </c>
      <c r="H22" s="12"/>
      <c r="I22" s="48">
        <v>4.139967854984599E-2</v>
      </c>
      <c r="J22" s="12">
        <v>700.58306327137996</v>
      </c>
      <c r="K22" s="12"/>
      <c r="L22" s="31">
        <f t="shared" si="3"/>
        <v>204.96</v>
      </c>
      <c r="P22" s="41">
        <f t="shared" si="2"/>
        <v>204.96</v>
      </c>
    </row>
    <row r="23" spans="1:16" x14ac:dyDescent="0.25">
      <c r="A23" t="s">
        <v>33</v>
      </c>
      <c r="B23" s="12">
        <v>0</v>
      </c>
      <c r="C23" s="12">
        <v>1035.6511472045192</v>
      </c>
      <c r="D23" s="25">
        <f t="shared" si="1"/>
        <v>5.7343595935013758E-2</v>
      </c>
      <c r="G23" s="12">
        <v>0</v>
      </c>
      <c r="H23" s="12"/>
      <c r="I23" s="48">
        <v>6.1199915944068282E-2</v>
      </c>
      <c r="J23" s="12">
        <v>1035.6511472045192</v>
      </c>
      <c r="K23" s="12"/>
      <c r="L23" s="31">
        <f t="shared" si="3"/>
        <v>302.99</v>
      </c>
      <c r="P23" s="41">
        <f t="shared" si="2"/>
        <v>302.99</v>
      </c>
    </row>
    <row r="24" spans="1:16" x14ac:dyDescent="0.25">
      <c r="A24" t="s">
        <v>34</v>
      </c>
      <c r="B24" s="12">
        <v>0</v>
      </c>
      <c r="C24" s="12">
        <v>700.58306327137996</v>
      </c>
      <c r="D24" s="25">
        <f t="shared" si="1"/>
        <v>3.8791008157126758E-2</v>
      </c>
      <c r="G24" s="12">
        <v>0</v>
      </c>
      <c r="H24" s="12"/>
      <c r="I24" s="48">
        <v>4.139967854984599E-2</v>
      </c>
      <c r="J24" s="12">
        <v>700.58306327137996</v>
      </c>
      <c r="K24" s="12"/>
      <c r="L24" s="31">
        <f t="shared" si="3"/>
        <v>204.96</v>
      </c>
      <c r="P24" s="41">
        <f t="shared" si="2"/>
        <v>204.96</v>
      </c>
    </row>
    <row r="25" spans="1:16" x14ac:dyDescent="0.25">
      <c r="A25" s="11" t="s">
        <v>35</v>
      </c>
      <c r="B25" s="12">
        <v>0</v>
      </c>
      <c r="C25" s="12">
        <v>507.67153398465842</v>
      </c>
      <c r="D25" s="25">
        <f t="shared" si="1"/>
        <v>2.8109572794955739E-2</v>
      </c>
      <c r="G25" s="12">
        <v>0</v>
      </c>
      <c r="H25" s="12"/>
      <c r="I25" s="48">
        <v>2.9999923517606782E-2</v>
      </c>
      <c r="J25" s="12">
        <v>507.67153398465842</v>
      </c>
      <c r="K25" s="12"/>
      <c r="L25" s="31">
        <f t="shared" si="3"/>
        <v>148.53</v>
      </c>
      <c r="P25" s="41">
        <f t="shared" si="2"/>
        <v>148.53</v>
      </c>
    </row>
    <row r="26" spans="1:16" x14ac:dyDescent="0.25">
      <c r="A26" s="9" t="s">
        <v>36</v>
      </c>
      <c r="B26" s="16">
        <v>0</v>
      </c>
      <c r="C26" s="16">
        <v>169.22384466155279</v>
      </c>
      <c r="D26" s="25">
        <f t="shared" si="1"/>
        <v>9.3698575983185792E-3</v>
      </c>
      <c r="G26" s="16">
        <v>0</v>
      </c>
      <c r="H26" s="16"/>
      <c r="I26" s="48">
        <v>9.9999745058689266E-3</v>
      </c>
      <c r="J26" s="16">
        <v>169.22384466155279</v>
      </c>
      <c r="K26" s="16" t="s">
        <v>56</v>
      </c>
      <c r="L26" s="31">
        <f t="shared" si="3"/>
        <v>49.51</v>
      </c>
      <c r="M26" s="27">
        <v>0.55479999999999996</v>
      </c>
      <c r="N26">
        <f>ROUND(+M26*$N$3,2)</f>
        <v>509.86</v>
      </c>
      <c r="P26" s="41">
        <f t="shared" si="2"/>
        <v>559.37</v>
      </c>
    </row>
    <row r="27" spans="1:16" x14ac:dyDescent="0.25">
      <c r="A27" s="9" t="s">
        <v>42</v>
      </c>
      <c r="B27" s="16">
        <v>0</v>
      </c>
      <c r="C27" s="16">
        <v>0</v>
      </c>
      <c r="D27" s="25"/>
      <c r="G27" s="16">
        <v>0</v>
      </c>
      <c r="H27" s="16"/>
      <c r="I27" s="47"/>
      <c r="J27" s="16">
        <v>0</v>
      </c>
      <c r="K27" s="16"/>
      <c r="L27" s="31"/>
    </row>
    <row r="28" spans="1:16" x14ac:dyDescent="0.25">
      <c r="A28" s="9" t="s">
        <v>43</v>
      </c>
      <c r="B28" s="16">
        <v>0</v>
      </c>
      <c r="C28" s="16">
        <v>0</v>
      </c>
      <c r="D28" s="25"/>
      <c r="G28" s="16">
        <v>0</v>
      </c>
      <c r="H28" s="16"/>
      <c r="I28" s="47"/>
      <c r="J28" s="16">
        <v>0</v>
      </c>
      <c r="K28" s="16"/>
      <c r="L28" s="31"/>
    </row>
    <row r="29" spans="1:16" x14ac:dyDescent="0.25">
      <c r="A29" s="9" t="s">
        <v>44</v>
      </c>
      <c r="B29" s="16">
        <v>0</v>
      </c>
      <c r="C29" s="16">
        <v>0</v>
      </c>
      <c r="D29" s="25"/>
      <c r="G29" s="16">
        <v>0</v>
      </c>
      <c r="H29" s="16"/>
      <c r="I29" s="47"/>
      <c r="J29" s="16">
        <v>0</v>
      </c>
      <c r="K29" s="16"/>
      <c r="L29" s="31"/>
    </row>
    <row r="30" spans="1:16" ht="15.75" thickBot="1" x14ac:dyDescent="0.3">
      <c r="A30" s="7" t="s">
        <v>37</v>
      </c>
      <c r="B30" s="23">
        <f>SUM(B10:B29)</f>
        <v>18060.45</v>
      </c>
      <c r="C30" s="23">
        <f>SUM(C10:C29)</f>
        <v>18060.450776692236</v>
      </c>
      <c r="D30" s="29">
        <f>SUM(D4:D29)</f>
        <v>1.000000043005143</v>
      </c>
      <c r="G30" s="23">
        <f>SUM(G10:G29)</f>
        <v>18060.45</v>
      </c>
      <c r="H30" s="23"/>
      <c r="I30" s="49">
        <v>1</v>
      </c>
      <c r="J30" s="23">
        <f>SUM(J10:J29)</f>
        <v>18060.450776692236</v>
      </c>
      <c r="K30" s="23"/>
      <c r="L30" s="23">
        <f>SUM(L4:L29)</f>
        <v>4950.8499999999995</v>
      </c>
      <c r="M30" s="28">
        <v>1</v>
      </c>
      <c r="N30" s="23">
        <f>SUM(N4:N29)</f>
        <v>918.99</v>
      </c>
      <c r="O30" s="23">
        <f>SUM(O4:O29)</f>
        <v>12190.609999999999</v>
      </c>
      <c r="P30" s="23">
        <f>SUM(P10:P29)</f>
        <v>18060.449999999997</v>
      </c>
    </row>
    <row r="31" spans="1:16" ht="15.75" thickTop="1" x14ac:dyDescent="0.25"/>
    <row r="32" spans="1:16" x14ac:dyDescent="0.25">
      <c r="B32" s="15"/>
      <c r="C32" s="15"/>
      <c r="G32" s="15"/>
      <c r="H32" s="15"/>
      <c r="J32" s="15"/>
      <c r="K32" s="15"/>
    </row>
    <row r="33" spans="3:11" x14ac:dyDescent="0.25">
      <c r="C33" s="15"/>
      <c r="J33" s="15"/>
      <c r="K33" s="15"/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4628-7443-455B-A4D1-888F0B36967D}">
  <dimension ref="A1:K47"/>
  <sheetViews>
    <sheetView topLeftCell="A16" workbookViewId="0">
      <selection activeCell="E44" sqref="E44"/>
    </sheetView>
  </sheetViews>
  <sheetFormatPr defaultRowHeight="15" x14ac:dyDescent="0.25"/>
  <cols>
    <col min="1" max="1" width="27.85546875" style="24" customWidth="1"/>
    <col min="2" max="2" width="16.7109375" style="24" customWidth="1"/>
    <col min="3" max="3" width="35.28515625" style="24" customWidth="1"/>
    <col min="4" max="4" width="24" style="24" customWidth="1"/>
    <col min="5" max="5" width="40" style="24" bestFit="1" customWidth="1"/>
    <col min="6" max="6" width="9.85546875" style="24" customWidth="1"/>
    <col min="7" max="7" width="13" style="24" customWidth="1"/>
    <col min="8" max="8" width="9.7109375" style="24" bestFit="1" customWidth="1"/>
    <col min="9" max="9" width="9.85546875" style="24" customWidth="1"/>
    <col min="11" max="11" width="13.140625" customWidth="1"/>
  </cols>
  <sheetData>
    <row r="1" spans="1:11" x14ac:dyDescent="0.25">
      <c r="A1" s="24" t="s">
        <v>64</v>
      </c>
      <c r="B1" s="24" t="s">
        <v>65</v>
      </c>
    </row>
    <row r="3" spans="1:11" ht="30" x14ac:dyDescent="0.25">
      <c r="A3" s="35" t="s">
        <v>66</v>
      </c>
      <c r="B3" s="35" t="s">
        <v>67</v>
      </c>
      <c r="C3" s="35" t="s">
        <v>68</v>
      </c>
      <c r="D3" s="35" t="s">
        <v>69</v>
      </c>
      <c r="E3" s="35" t="s">
        <v>70</v>
      </c>
      <c r="F3" s="36" t="s">
        <v>71</v>
      </c>
      <c r="G3" s="37" t="s">
        <v>72</v>
      </c>
      <c r="H3" s="37" t="s">
        <v>73</v>
      </c>
      <c r="I3" s="36" t="s">
        <v>74</v>
      </c>
      <c r="J3" s="36" t="s">
        <v>53</v>
      </c>
      <c r="K3" s="36" t="s">
        <v>75</v>
      </c>
    </row>
    <row r="4" spans="1:11" x14ac:dyDescent="0.25">
      <c r="A4" s="24" t="s">
        <v>76</v>
      </c>
      <c r="B4" s="24" t="s">
        <v>77</v>
      </c>
      <c r="C4" s="24" t="s">
        <v>78</v>
      </c>
      <c r="D4" s="38" t="s">
        <v>79</v>
      </c>
      <c r="F4" s="39">
        <v>499.99</v>
      </c>
      <c r="G4" s="39">
        <v>75.989999999999995</v>
      </c>
      <c r="H4" s="39">
        <f>+G4+F4</f>
        <v>575.98</v>
      </c>
      <c r="I4" s="39"/>
      <c r="J4" s="39">
        <f t="shared" ref="J4:J10" si="0">+H4</f>
        <v>575.98</v>
      </c>
      <c r="K4" s="39"/>
    </row>
    <row r="5" spans="1:11" x14ac:dyDescent="0.25">
      <c r="A5" s="24" t="s">
        <v>76</v>
      </c>
      <c r="B5" s="24" t="s">
        <v>80</v>
      </c>
      <c r="C5" s="24" t="s">
        <v>78</v>
      </c>
      <c r="D5" s="38" t="s">
        <v>81</v>
      </c>
      <c r="F5" s="39">
        <v>499.99</v>
      </c>
      <c r="G5" s="39">
        <v>75.989999999999995</v>
      </c>
      <c r="H5" s="39">
        <f t="shared" ref="H5:H13" si="1">+G5+F5</f>
        <v>575.98</v>
      </c>
      <c r="I5" s="39"/>
      <c r="J5" s="39">
        <f t="shared" si="0"/>
        <v>575.98</v>
      </c>
      <c r="K5" s="39"/>
    </row>
    <row r="6" spans="1:11" x14ac:dyDescent="0.25">
      <c r="A6" s="24" t="s">
        <v>76</v>
      </c>
      <c r="B6" s="24" t="s">
        <v>82</v>
      </c>
      <c r="C6" s="24" t="s">
        <v>78</v>
      </c>
      <c r="D6" s="38" t="s">
        <v>83</v>
      </c>
      <c r="F6" s="39">
        <v>499.99</v>
      </c>
      <c r="G6" s="39">
        <v>75.989999999999995</v>
      </c>
      <c r="H6" s="39">
        <f t="shared" si="1"/>
        <v>575.98</v>
      </c>
      <c r="I6" s="39"/>
      <c r="J6" s="39">
        <f t="shared" si="0"/>
        <v>575.98</v>
      </c>
      <c r="K6" s="39"/>
    </row>
    <row r="7" spans="1:11" x14ac:dyDescent="0.25">
      <c r="A7" s="24" t="s">
        <v>76</v>
      </c>
      <c r="B7" s="24" t="s">
        <v>84</v>
      </c>
      <c r="C7" s="24" t="s">
        <v>78</v>
      </c>
      <c r="D7" s="38" t="s">
        <v>85</v>
      </c>
      <c r="F7" s="39">
        <v>499.99</v>
      </c>
      <c r="G7" s="39">
        <v>75.989999999999995</v>
      </c>
      <c r="H7" s="39">
        <f t="shared" si="1"/>
        <v>575.98</v>
      </c>
      <c r="I7" s="39"/>
      <c r="J7" s="39">
        <f t="shared" si="0"/>
        <v>575.98</v>
      </c>
      <c r="K7" s="39"/>
    </row>
    <row r="8" spans="1:11" x14ac:dyDescent="0.25">
      <c r="A8" s="24" t="s">
        <v>76</v>
      </c>
      <c r="B8" s="24" t="s">
        <v>86</v>
      </c>
      <c r="C8" s="24" t="s">
        <v>78</v>
      </c>
      <c r="D8" s="38" t="s">
        <v>83</v>
      </c>
      <c r="F8" s="39">
        <v>499.99</v>
      </c>
      <c r="G8" s="39">
        <v>75.989999999999995</v>
      </c>
      <c r="H8" s="39">
        <f t="shared" si="1"/>
        <v>575.98</v>
      </c>
      <c r="I8" s="39"/>
      <c r="J8" s="39">
        <f t="shared" si="0"/>
        <v>575.98</v>
      </c>
      <c r="K8" s="39"/>
    </row>
    <row r="9" spans="1:11" x14ac:dyDescent="0.25">
      <c r="A9" s="24" t="s">
        <v>76</v>
      </c>
      <c r="B9" s="24" t="s">
        <v>87</v>
      </c>
      <c r="C9" s="24" t="s">
        <v>78</v>
      </c>
      <c r="D9" s="38" t="s">
        <v>88</v>
      </c>
      <c r="E9" s="24" t="s">
        <v>89</v>
      </c>
      <c r="F9" s="39">
        <v>499.99</v>
      </c>
      <c r="G9" s="39">
        <v>75.989999999999995</v>
      </c>
      <c r="H9" s="39">
        <f t="shared" si="1"/>
        <v>575.98</v>
      </c>
      <c r="I9" s="39"/>
      <c r="J9" s="39">
        <f t="shared" si="0"/>
        <v>575.98</v>
      </c>
      <c r="K9" s="39"/>
    </row>
    <row r="10" spans="1:11" x14ac:dyDescent="0.25">
      <c r="A10" s="24" t="s">
        <v>76</v>
      </c>
      <c r="B10" s="24" t="s">
        <v>90</v>
      </c>
      <c r="C10" s="24" t="s">
        <v>78</v>
      </c>
      <c r="D10" s="38" t="s">
        <v>91</v>
      </c>
      <c r="E10" s="24" t="s">
        <v>92</v>
      </c>
      <c r="F10" s="39">
        <v>499.99</v>
      </c>
      <c r="G10" s="39">
        <v>75.989999999999995</v>
      </c>
      <c r="H10" s="39">
        <f t="shared" si="1"/>
        <v>575.98</v>
      </c>
      <c r="I10" s="39"/>
      <c r="J10" s="39">
        <f t="shared" si="0"/>
        <v>575.98</v>
      </c>
      <c r="K10" s="39"/>
    </row>
    <row r="11" spans="1:11" x14ac:dyDescent="0.25">
      <c r="A11" s="24" t="s">
        <v>76</v>
      </c>
      <c r="B11" s="24" t="s">
        <v>93</v>
      </c>
      <c r="C11" s="24" t="s">
        <v>94</v>
      </c>
      <c r="D11" s="24" t="s">
        <v>95</v>
      </c>
      <c r="F11" s="39">
        <v>499.99</v>
      </c>
      <c r="G11" s="39">
        <v>75.989999999999995</v>
      </c>
      <c r="H11" s="39">
        <f t="shared" si="1"/>
        <v>575.98</v>
      </c>
      <c r="I11" s="39">
        <f>+H11</f>
        <v>575.98</v>
      </c>
      <c r="J11" s="39"/>
      <c r="K11" s="39"/>
    </row>
    <row r="12" spans="1:11" x14ac:dyDescent="0.25">
      <c r="A12" s="24" t="s">
        <v>76</v>
      </c>
      <c r="B12" s="24" t="s">
        <v>96</v>
      </c>
      <c r="C12" s="24" t="s">
        <v>97</v>
      </c>
      <c r="D12" s="24" t="s">
        <v>98</v>
      </c>
      <c r="F12" s="39">
        <v>499.99</v>
      </c>
      <c r="G12" s="39">
        <v>75.989999999999995</v>
      </c>
      <c r="H12" s="39">
        <f t="shared" si="1"/>
        <v>575.98</v>
      </c>
      <c r="I12" s="39">
        <f>+H12</f>
        <v>575.98</v>
      </c>
      <c r="J12" s="39"/>
      <c r="K12" s="39"/>
    </row>
    <row r="13" spans="1:11" x14ac:dyDescent="0.25">
      <c r="A13" s="24" t="s">
        <v>76</v>
      </c>
      <c r="B13" s="24" t="s">
        <v>99</v>
      </c>
      <c r="C13" s="24" t="s">
        <v>100</v>
      </c>
      <c r="D13" s="24" t="s">
        <v>95</v>
      </c>
      <c r="F13" s="39">
        <v>499.99</v>
      </c>
      <c r="G13" s="39">
        <v>75.989999999999995</v>
      </c>
      <c r="H13" s="39">
        <f t="shared" si="1"/>
        <v>575.98</v>
      </c>
      <c r="I13" s="39">
        <f>+H13</f>
        <v>575.98</v>
      </c>
      <c r="J13" s="39"/>
      <c r="K13" s="39"/>
    </row>
    <row r="14" spans="1:11" x14ac:dyDescent="0.25">
      <c r="F14" s="39"/>
      <c r="G14" s="39"/>
      <c r="H14" s="39"/>
    </row>
    <row r="15" spans="1:11" x14ac:dyDescent="0.25">
      <c r="F15" s="39">
        <f>SUM(F4:F14)</f>
        <v>4999.8999999999987</v>
      </c>
      <c r="G15" s="39"/>
      <c r="H15" s="39">
        <f>SUM(H4:H14)</f>
        <v>5759.7999999999993</v>
      </c>
      <c r="I15" s="39">
        <f>SUM(I4:I14)</f>
        <v>1727.94</v>
      </c>
      <c r="J15" s="39">
        <f>SUM(J4:J14)</f>
        <v>4031.86</v>
      </c>
      <c r="K15" s="39">
        <f>SUM(K4:K14)</f>
        <v>0</v>
      </c>
    </row>
    <row r="16" spans="1:11" x14ac:dyDescent="0.25">
      <c r="A16" s="35" t="s">
        <v>66</v>
      </c>
      <c r="B16" s="35" t="s">
        <v>67</v>
      </c>
      <c r="C16" s="35" t="s">
        <v>68</v>
      </c>
      <c r="D16" s="35" t="s">
        <v>69</v>
      </c>
      <c r="E16" s="35" t="s">
        <v>70</v>
      </c>
      <c r="F16" s="36"/>
      <c r="G16" s="36"/>
      <c r="H16" s="36"/>
      <c r="I16" s="36"/>
    </row>
    <row r="17" spans="1:11" x14ac:dyDescent="0.25">
      <c r="A17" s="24" t="s">
        <v>101</v>
      </c>
      <c r="B17" s="24" t="s">
        <v>102</v>
      </c>
      <c r="C17" s="24" t="s">
        <v>78</v>
      </c>
      <c r="D17" s="38" t="s">
        <v>103</v>
      </c>
      <c r="E17" s="40" t="s">
        <v>104</v>
      </c>
      <c r="F17" s="39">
        <v>839</v>
      </c>
      <c r="G17" s="39">
        <v>79.989999999999995</v>
      </c>
      <c r="H17" s="39">
        <f t="shared" ref="H17:H25" si="2">+G17+F17</f>
        <v>918.99</v>
      </c>
      <c r="I17" s="39"/>
      <c r="J17" s="39"/>
      <c r="K17" s="41">
        <f>+H17</f>
        <v>918.99</v>
      </c>
    </row>
    <row r="18" spans="1:11" x14ac:dyDescent="0.25">
      <c r="A18" s="24" t="s">
        <v>101</v>
      </c>
      <c r="B18" s="24" t="s">
        <v>105</v>
      </c>
      <c r="C18" s="24" t="s">
        <v>78</v>
      </c>
      <c r="D18" s="38" t="s">
        <v>106</v>
      </c>
      <c r="E18" s="40" t="s">
        <v>104</v>
      </c>
      <c r="F18" s="39">
        <v>839</v>
      </c>
      <c r="G18" s="39">
        <v>79.989999999999995</v>
      </c>
      <c r="H18" s="39">
        <f t="shared" si="2"/>
        <v>918.99</v>
      </c>
      <c r="I18" s="39"/>
      <c r="J18" s="39">
        <f>+H18</f>
        <v>918.99</v>
      </c>
    </row>
    <row r="19" spans="1:11" x14ac:dyDescent="0.25">
      <c r="A19" s="24" t="s">
        <v>101</v>
      </c>
      <c r="B19" s="24" t="s">
        <v>107</v>
      </c>
      <c r="C19" s="24" t="s">
        <v>108</v>
      </c>
      <c r="D19" s="24" t="s">
        <v>109</v>
      </c>
      <c r="F19" s="39">
        <v>839</v>
      </c>
      <c r="G19" s="39">
        <v>79.989999999999995</v>
      </c>
      <c r="H19" s="39">
        <f t="shared" si="2"/>
        <v>918.99</v>
      </c>
      <c r="I19" s="39">
        <f>+H19</f>
        <v>918.99</v>
      </c>
      <c r="J19" s="39"/>
    </row>
    <row r="20" spans="1:11" x14ac:dyDescent="0.25">
      <c r="A20" s="24" t="s">
        <v>101</v>
      </c>
      <c r="B20" s="24" t="s">
        <v>110</v>
      </c>
      <c r="C20" s="24" t="s">
        <v>111</v>
      </c>
      <c r="D20" s="24" t="s">
        <v>112</v>
      </c>
      <c r="F20" s="39">
        <v>839</v>
      </c>
      <c r="G20" s="39">
        <v>79.989999999999995</v>
      </c>
      <c r="H20" s="39">
        <f t="shared" si="2"/>
        <v>918.99</v>
      </c>
      <c r="I20" s="39">
        <f t="shared" ref="I20:I25" si="3">+H20</f>
        <v>918.99</v>
      </c>
      <c r="J20" s="39"/>
    </row>
    <row r="21" spans="1:11" x14ac:dyDescent="0.25">
      <c r="A21" s="24" t="s">
        <v>101</v>
      </c>
      <c r="B21" s="24" t="s">
        <v>113</v>
      </c>
      <c r="C21" s="24" t="s">
        <v>114</v>
      </c>
      <c r="D21" s="24" t="s">
        <v>115</v>
      </c>
      <c r="F21" s="39">
        <v>839</v>
      </c>
      <c r="G21" s="39">
        <v>79.989999999999995</v>
      </c>
      <c r="H21" s="39">
        <f t="shared" si="2"/>
        <v>918.99</v>
      </c>
      <c r="I21" s="39">
        <f t="shared" si="3"/>
        <v>918.99</v>
      </c>
      <c r="J21" s="39"/>
    </row>
    <row r="22" spans="1:11" x14ac:dyDescent="0.25">
      <c r="A22" s="24" t="s">
        <v>101</v>
      </c>
      <c r="B22" s="24" t="s">
        <v>116</v>
      </c>
      <c r="C22" s="24" t="s">
        <v>114</v>
      </c>
      <c r="D22" s="24" t="s">
        <v>117</v>
      </c>
      <c r="F22" s="39">
        <v>839</v>
      </c>
      <c r="G22" s="39">
        <v>79.989999999999995</v>
      </c>
      <c r="H22" s="39">
        <f t="shared" si="2"/>
        <v>918.99</v>
      </c>
      <c r="I22" s="39">
        <f t="shared" si="3"/>
        <v>918.99</v>
      </c>
      <c r="J22" s="39"/>
    </row>
    <row r="23" spans="1:11" x14ac:dyDescent="0.25">
      <c r="A23" s="24" t="s">
        <v>101</v>
      </c>
      <c r="B23" s="24" t="s">
        <v>118</v>
      </c>
      <c r="C23" s="24" t="s">
        <v>119</v>
      </c>
      <c r="D23" s="24" t="s">
        <v>120</v>
      </c>
      <c r="F23" s="39">
        <v>839</v>
      </c>
      <c r="G23" s="39">
        <v>79.989999999999995</v>
      </c>
      <c r="H23" s="39">
        <f t="shared" si="2"/>
        <v>918.99</v>
      </c>
      <c r="I23" s="39">
        <f t="shared" si="3"/>
        <v>918.99</v>
      </c>
      <c r="J23" s="39"/>
    </row>
    <row r="24" spans="1:11" x14ac:dyDescent="0.25">
      <c r="A24" s="24" t="s">
        <v>101</v>
      </c>
      <c r="B24" s="24" t="s">
        <v>121</v>
      </c>
      <c r="C24" s="24" t="s">
        <v>122</v>
      </c>
      <c r="D24" s="24" t="s">
        <v>123</v>
      </c>
      <c r="F24" s="39">
        <v>839</v>
      </c>
      <c r="G24" s="39">
        <v>79.989999999999995</v>
      </c>
      <c r="H24" s="39">
        <f t="shared" si="2"/>
        <v>918.99</v>
      </c>
      <c r="I24" s="39">
        <f t="shared" si="3"/>
        <v>918.99</v>
      </c>
      <c r="J24" s="39"/>
    </row>
    <row r="25" spans="1:11" x14ac:dyDescent="0.25">
      <c r="A25" s="24" t="s">
        <v>101</v>
      </c>
      <c r="B25" s="24" t="s">
        <v>124</v>
      </c>
      <c r="C25" s="24" t="s">
        <v>125</v>
      </c>
      <c r="D25" s="24" t="s">
        <v>126</v>
      </c>
      <c r="F25" s="39">
        <v>839</v>
      </c>
      <c r="G25" s="39">
        <v>79.989999999999995</v>
      </c>
      <c r="H25" s="39">
        <f t="shared" si="2"/>
        <v>918.99</v>
      </c>
      <c r="I25" s="39">
        <f t="shared" si="3"/>
        <v>918.99</v>
      </c>
      <c r="J25" s="39"/>
    </row>
    <row r="26" spans="1:11" x14ac:dyDescent="0.25">
      <c r="F26" s="39"/>
      <c r="G26" s="39"/>
      <c r="H26" s="39"/>
      <c r="I26" s="39"/>
      <c r="J26" s="39"/>
    </row>
    <row r="27" spans="1:11" x14ac:dyDescent="0.25">
      <c r="F27" s="39">
        <f>SUM(F17:F26)</f>
        <v>7551</v>
      </c>
      <c r="G27" s="39"/>
      <c r="H27" s="39">
        <f>SUM(H17:H26)</f>
        <v>8270.91</v>
      </c>
      <c r="I27" s="39">
        <f>SUM(I17:I26)</f>
        <v>6432.9299999999994</v>
      </c>
      <c r="J27" s="39">
        <f>SUM(J17:J26)</f>
        <v>918.99</v>
      </c>
      <c r="K27" s="39">
        <f>SUM(K17:K26)</f>
        <v>918.99</v>
      </c>
    </row>
    <row r="28" spans="1:11" x14ac:dyDescent="0.25">
      <c r="A28" s="35" t="s">
        <v>66</v>
      </c>
      <c r="B28" s="35" t="s">
        <v>67</v>
      </c>
      <c r="C28" s="35" t="s">
        <v>68</v>
      </c>
      <c r="D28" s="35" t="s">
        <v>127</v>
      </c>
      <c r="E28" s="35" t="s">
        <v>70</v>
      </c>
      <c r="F28" s="39"/>
      <c r="G28" s="39"/>
      <c r="H28" s="39"/>
      <c r="I28" s="39"/>
      <c r="J28" s="39"/>
    </row>
    <row r="29" spans="1:11" x14ac:dyDescent="0.25">
      <c r="A29" s="24" t="s">
        <v>128</v>
      </c>
      <c r="B29" s="24" t="s">
        <v>129</v>
      </c>
      <c r="C29" s="24" t="s">
        <v>122</v>
      </c>
      <c r="D29" s="24" t="s">
        <v>122</v>
      </c>
      <c r="F29" s="39">
        <v>301.99</v>
      </c>
      <c r="G29" s="39">
        <v>52.99</v>
      </c>
      <c r="H29" s="39">
        <f>+G29+F29</f>
        <v>354.98</v>
      </c>
      <c r="I29" s="39">
        <f>+H29</f>
        <v>354.98</v>
      </c>
      <c r="J29" s="39"/>
    </row>
    <row r="30" spans="1:11" x14ac:dyDescent="0.25">
      <c r="A30" s="24" t="s">
        <v>128</v>
      </c>
      <c r="B30" s="24" t="s">
        <v>130</v>
      </c>
      <c r="C30" s="24" t="s">
        <v>122</v>
      </c>
      <c r="D30" s="24" t="s">
        <v>122</v>
      </c>
      <c r="F30" s="39">
        <v>301.99</v>
      </c>
      <c r="G30" s="39">
        <v>52.99</v>
      </c>
      <c r="H30" s="39">
        <f t="shared" ref="H30:H38" si="4">+G30+F30</f>
        <v>354.98</v>
      </c>
      <c r="I30" s="39">
        <f t="shared" ref="I30:I38" si="5">+H30</f>
        <v>354.98</v>
      </c>
      <c r="J30" s="39"/>
    </row>
    <row r="31" spans="1:11" x14ac:dyDescent="0.25">
      <c r="A31" s="24" t="s">
        <v>128</v>
      </c>
      <c r="B31" s="24" t="s">
        <v>131</v>
      </c>
      <c r="C31" s="24" t="s">
        <v>122</v>
      </c>
      <c r="D31" s="24" t="s">
        <v>122</v>
      </c>
      <c r="F31" s="39">
        <v>301.99</v>
      </c>
      <c r="G31" s="39">
        <v>52.99</v>
      </c>
      <c r="H31" s="39">
        <f t="shared" si="4"/>
        <v>354.98</v>
      </c>
      <c r="I31" s="39">
        <f t="shared" si="5"/>
        <v>354.98</v>
      </c>
      <c r="J31" s="39"/>
    </row>
    <row r="32" spans="1:11" x14ac:dyDescent="0.25">
      <c r="A32" s="24" t="s">
        <v>128</v>
      </c>
      <c r="B32" s="24" t="s">
        <v>132</v>
      </c>
      <c r="C32" s="24" t="s">
        <v>122</v>
      </c>
      <c r="D32" s="24" t="s">
        <v>122</v>
      </c>
      <c r="F32" s="39">
        <v>301.99</v>
      </c>
      <c r="G32" s="39">
        <v>52.99</v>
      </c>
      <c r="H32" s="39">
        <f t="shared" si="4"/>
        <v>354.98</v>
      </c>
      <c r="I32" s="39">
        <f t="shared" si="5"/>
        <v>354.98</v>
      </c>
      <c r="J32" s="39"/>
    </row>
    <row r="33" spans="1:11" x14ac:dyDescent="0.25">
      <c r="A33" s="24" t="s">
        <v>128</v>
      </c>
      <c r="B33" s="24" t="s">
        <v>133</v>
      </c>
      <c r="C33" s="24" t="s">
        <v>122</v>
      </c>
      <c r="D33" s="24" t="s">
        <v>122</v>
      </c>
      <c r="F33" s="39">
        <v>301.99</v>
      </c>
      <c r="G33" s="39">
        <v>52.99</v>
      </c>
      <c r="H33" s="39">
        <f t="shared" si="4"/>
        <v>354.98</v>
      </c>
      <c r="I33" s="39">
        <f t="shared" si="5"/>
        <v>354.98</v>
      </c>
      <c r="J33" s="39"/>
    </row>
    <row r="34" spans="1:11" x14ac:dyDescent="0.25">
      <c r="A34" s="24" t="s">
        <v>128</v>
      </c>
      <c r="B34" s="24" t="s">
        <v>134</v>
      </c>
      <c r="C34" s="24" t="s">
        <v>122</v>
      </c>
      <c r="D34" s="24" t="s">
        <v>122</v>
      </c>
      <c r="F34" s="39">
        <v>301.99</v>
      </c>
      <c r="G34" s="39">
        <v>52.99</v>
      </c>
      <c r="H34" s="39">
        <f t="shared" si="4"/>
        <v>354.98</v>
      </c>
      <c r="I34" s="39">
        <f t="shared" si="5"/>
        <v>354.98</v>
      </c>
      <c r="J34" s="39"/>
    </row>
    <row r="35" spans="1:11" x14ac:dyDescent="0.25">
      <c r="A35" s="24" t="s">
        <v>128</v>
      </c>
      <c r="B35" s="24" t="s">
        <v>135</v>
      </c>
      <c r="C35" s="24" t="s">
        <v>122</v>
      </c>
      <c r="D35" s="24" t="s">
        <v>122</v>
      </c>
      <c r="F35" s="39">
        <v>301.99</v>
      </c>
      <c r="G35" s="39">
        <v>52.99</v>
      </c>
      <c r="H35" s="39">
        <f t="shared" si="4"/>
        <v>354.98</v>
      </c>
      <c r="I35" s="39">
        <f t="shared" si="5"/>
        <v>354.98</v>
      </c>
      <c r="J35" s="39"/>
    </row>
    <row r="36" spans="1:11" x14ac:dyDescent="0.25">
      <c r="A36" s="24" t="s">
        <v>128</v>
      </c>
      <c r="B36" s="24" t="s">
        <v>136</v>
      </c>
      <c r="C36" s="24" t="s">
        <v>122</v>
      </c>
      <c r="D36" s="24" t="s">
        <v>122</v>
      </c>
      <c r="F36" s="39">
        <v>301.99</v>
      </c>
      <c r="G36" s="39">
        <v>52.99</v>
      </c>
      <c r="H36" s="39">
        <f t="shared" si="4"/>
        <v>354.98</v>
      </c>
      <c r="I36" s="39">
        <f t="shared" si="5"/>
        <v>354.98</v>
      </c>
      <c r="J36" s="39"/>
    </row>
    <row r="37" spans="1:11" x14ac:dyDescent="0.25">
      <c r="A37" s="24" t="s">
        <v>128</v>
      </c>
      <c r="B37" s="24" t="s">
        <v>137</v>
      </c>
      <c r="C37" s="24" t="s">
        <v>122</v>
      </c>
      <c r="D37" s="24" t="s">
        <v>122</v>
      </c>
      <c r="F37" s="39">
        <v>301.99</v>
      </c>
      <c r="G37" s="39">
        <v>52.99</v>
      </c>
      <c r="H37" s="39">
        <f t="shared" si="4"/>
        <v>354.98</v>
      </c>
      <c r="I37" s="39">
        <f t="shared" si="5"/>
        <v>354.98</v>
      </c>
      <c r="J37" s="39"/>
    </row>
    <row r="38" spans="1:11" x14ac:dyDescent="0.25">
      <c r="A38" s="24" t="s">
        <v>128</v>
      </c>
      <c r="B38" s="24" t="s">
        <v>138</v>
      </c>
      <c r="C38" s="24" t="s">
        <v>122</v>
      </c>
      <c r="D38" s="24" t="s">
        <v>122</v>
      </c>
      <c r="F38" s="39">
        <v>301.99</v>
      </c>
      <c r="G38" s="39">
        <v>52.99</v>
      </c>
      <c r="H38" s="39">
        <f t="shared" si="4"/>
        <v>354.98</v>
      </c>
      <c r="I38" s="39">
        <f t="shared" si="5"/>
        <v>354.98</v>
      </c>
      <c r="J38" s="39"/>
    </row>
    <row r="40" spans="1:11" x14ac:dyDescent="0.25">
      <c r="F40" s="39">
        <f>SUM(F29:F39)</f>
        <v>3019.8999999999996</v>
      </c>
      <c r="H40" s="39">
        <f>SUM(H29:H39)</f>
        <v>3549.8</v>
      </c>
      <c r="I40" s="39">
        <f>SUM(I29:I39)</f>
        <v>3549.8</v>
      </c>
      <c r="J40" s="39">
        <f>SUM(J29:J39)</f>
        <v>0</v>
      </c>
      <c r="K40" s="39">
        <f>SUM(K29:K39)</f>
        <v>0</v>
      </c>
    </row>
    <row r="42" spans="1:11" x14ac:dyDescent="0.25">
      <c r="D42" s="24" t="s">
        <v>125</v>
      </c>
      <c r="E42" s="24" t="s">
        <v>139</v>
      </c>
      <c r="F42" s="2">
        <f>79.99*6</f>
        <v>479.93999999999994</v>
      </c>
      <c r="H42" s="2">
        <f>+F42</f>
        <v>479.93999999999994</v>
      </c>
      <c r="I42" s="39">
        <v>479.94</v>
      </c>
    </row>
    <row r="44" spans="1:11" x14ac:dyDescent="0.25">
      <c r="H44" s="39">
        <f>+H40+H27+H15+H42</f>
        <v>18060.449999999997</v>
      </c>
      <c r="I44" s="39">
        <f>+I40+I27+I15+I42</f>
        <v>12190.61</v>
      </c>
      <c r="J44" s="39">
        <f>+J40+J27+J15+J42</f>
        <v>4950.8500000000004</v>
      </c>
      <c r="K44" s="39">
        <f>+K40+K27+K15+K42</f>
        <v>918.99</v>
      </c>
    </row>
    <row r="46" spans="1:11" x14ac:dyDescent="0.25">
      <c r="F46" s="2"/>
      <c r="H46" s="2"/>
      <c r="I46" s="39"/>
    </row>
    <row r="47" spans="1:11" x14ac:dyDescent="0.25">
      <c r="H47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EC54-ED7F-4077-89BF-DFC918C66DC7}">
  <dimension ref="A1:F33"/>
  <sheetViews>
    <sheetView workbookViewId="0">
      <selection activeCell="I26" sqref="I26"/>
    </sheetView>
  </sheetViews>
  <sheetFormatPr defaultRowHeight="15" x14ac:dyDescent="0.25"/>
  <cols>
    <col min="1" max="1" width="19.5703125" bestFit="1" customWidth="1"/>
    <col min="2" max="2" width="10.7109375" customWidth="1"/>
    <col min="3" max="3" width="10.85546875" bestFit="1" customWidth="1"/>
    <col min="6" max="6" width="9.5703125" style="1" bestFit="1" customWidth="1"/>
  </cols>
  <sheetData>
    <row r="1" spans="1:5" x14ac:dyDescent="0.25">
      <c r="A1" s="54" t="s">
        <v>49</v>
      </c>
      <c r="B1" s="54"/>
      <c r="C1" s="54"/>
    </row>
    <row r="2" spans="1:5" x14ac:dyDescent="0.25">
      <c r="A2" s="56" t="s">
        <v>14</v>
      </c>
      <c r="B2" s="56"/>
      <c r="C2" s="56"/>
    </row>
    <row r="3" spans="1:5" ht="30" x14ac:dyDescent="0.25">
      <c r="A3" s="4" t="s">
        <v>18</v>
      </c>
      <c r="B3" s="10" t="s">
        <v>160</v>
      </c>
      <c r="C3" s="10" t="s">
        <v>164</v>
      </c>
    </row>
    <row r="4" spans="1:5" x14ac:dyDescent="0.25">
      <c r="A4" s="8" t="s">
        <v>19</v>
      </c>
      <c r="B4" s="12">
        <v>0</v>
      </c>
      <c r="C4" s="12">
        <v>2256.5500000000002</v>
      </c>
      <c r="D4" s="26">
        <f>+C4/$B$30</f>
        <v>0.10150008996041741</v>
      </c>
      <c r="E4" s="15"/>
    </row>
    <row r="5" spans="1:5" x14ac:dyDescent="0.25">
      <c r="A5" s="9" t="s">
        <v>20</v>
      </c>
      <c r="B5" s="12">
        <v>0</v>
      </c>
      <c r="C5" s="12">
        <v>2256.5500000000002</v>
      </c>
      <c r="D5" s="26">
        <f>+C5/$B$30</f>
        <v>0.10150008996041741</v>
      </c>
      <c r="E5" s="15"/>
    </row>
    <row r="6" spans="1:5" x14ac:dyDescent="0.25">
      <c r="A6" s="9" t="s">
        <v>21</v>
      </c>
      <c r="B6" s="12">
        <v>0</v>
      </c>
      <c r="C6" s="12">
        <v>2256.5500000000002</v>
      </c>
      <c r="D6" s="26">
        <f>+C6/$B$30</f>
        <v>0.10150008996041741</v>
      </c>
      <c r="E6" s="15"/>
    </row>
    <row r="7" spans="1:5" x14ac:dyDescent="0.25">
      <c r="A7" s="9" t="s">
        <v>22</v>
      </c>
      <c r="B7" s="12">
        <v>0</v>
      </c>
      <c r="C7" s="12">
        <v>2256.5500000000002</v>
      </c>
      <c r="D7" s="26">
        <f>+C7/$B$30</f>
        <v>0.10150008996041741</v>
      </c>
      <c r="E7" s="15"/>
    </row>
    <row r="8" spans="1:5" x14ac:dyDescent="0.25">
      <c r="A8" t="s">
        <v>23</v>
      </c>
      <c r="B8" s="16">
        <v>0</v>
      </c>
      <c r="C8" s="12">
        <v>1200.53</v>
      </c>
      <c r="D8" s="26">
        <f>+C8/$B$30</f>
        <v>5.4000089960417406E-2</v>
      </c>
      <c r="E8" s="15"/>
    </row>
    <row r="9" spans="1:5" x14ac:dyDescent="0.25">
      <c r="A9" t="s">
        <v>39</v>
      </c>
      <c r="B9" s="13">
        <v>12278.73</v>
      </c>
      <c r="C9" s="13">
        <v>0</v>
      </c>
      <c r="E9" s="15"/>
    </row>
    <row r="10" spans="1:5" x14ac:dyDescent="0.25">
      <c r="A10" t="s">
        <v>24</v>
      </c>
      <c r="B10" s="14">
        <f>SUM(B4:B9)</f>
        <v>12278.73</v>
      </c>
      <c r="C10" s="14">
        <f>SUM(C4:C9)</f>
        <v>10226.730000000001</v>
      </c>
    </row>
    <row r="11" spans="1:5" x14ac:dyDescent="0.25">
      <c r="B11" s="12"/>
      <c r="C11" s="12"/>
    </row>
    <row r="12" spans="1:5" x14ac:dyDescent="0.25">
      <c r="A12" t="s">
        <v>25</v>
      </c>
      <c r="B12" s="12">
        <v>0</v>
      </c>
      <c r="C12" s="12">
        <v>280.12</v>
      </c>
      <c r="D12" s="26">
        <f t="shared" ref="D12:D19" si="0">+C12/$B$30</f>
        <v>1.2599856063332132E-2</v>
      </c>
      <c r="E12" s="15"/>
    </row>
    <row r="13" spans="1:5" x14ac:dyDescent="0.25">
      <c r="A13" t="s">
        <v>26</v>
      </c>
      <c r="B13" s="12">
        <v>0</v>
      </c>
      <c r="C13" s="12">
        <v>164.52</v>
      </c>
      <c r="D13" s="26">
        <f t="shared" si="0"/>
        <v>7.4001439366678653E-3</v>
      </c>
      <c r="E13" s="15"/>
    </row>
    <row r="14" spans="1:5" x14ac:dyDescent="0.25">
      <c r="A14" t="s">
        <v>27</v>
      </c>
      <c r="B14" s="12">
        <v>8915.0300000000007</v>
      </c>
      <c r="C14" s="12">
        <v>2667.84</v>
      </c>
      <c r="D14" s="26">
        <f t="shared" si="0"/>
        <v>0.11999999999999998</v>
      </c>
      <c r="E14" s="15"/>
    </row>
    <row r="15" spans="1:5" x14ac:dyDescent="0.25">
      <c r="A15" t="s">
        <v>28</v>
      </c>
      <c r="B15" s="12">
        <v>0</v>
      </c>
      <c r="C15" s="12">
        <v>2890.16</v>
      </c>
      <c r="D15" s="26">
        <f t="shared" si="0"/>
        <v>0.12999999999999998</v>
      </c>
      <c r="E15" s="15"/>
    </row>
    <row r="16" spans="1:5" x14ac:dyDescent="0.25">
      <c r="A16" t="s">
        <v>40</v>
      </c>
      <c r="B16" s="12">
        <v>117.83</v>
      </c>
      <c r="C16" s="12">
        <v>0</v>
      </c>
      <c r="D16" s="26"/>
      <c r="E16" s="15"/>
    </row>
    <row r="17" spans="1:5" x14ac:dyDescent="0.25">
      <c r="A17" s="9" t="s">
        <v>41</v>
      </c>
      <c r="B17" s="12">
        <v>104.49</v>
      </c>
      <c r="C17" s="12">
        <v>0</v>
      </c>
      <c r="D17" s="26"/>
      <c r="E17" s="15"/>
    </row>
    <row r="18" spans="1:5" x14ac:dyDescent="0.25">
      <c r="A18" t="s">
        <v>29</v>
      </c>
      <c r="B18" s="12">
        <v>175.63</v>
      </c>
      <c r="C18" s="12">
        <v>555.79999999999995</v>
      </c>
      <c r="D18" s="26">
        <f t="shared" si="0"/>
        <v>2.4999999999999994E-2</v>
      </c>
      <c r="E18" s="15"/>
    </row>
    <row r="19" spans="1:5" x14ac:dyDescent="0.25">
      <c r="A19" s="9" t="s">
        <v>30</v>
      </c>
      <c r="B19" s="12">
        <v>88.93</v>
      </c>
      <c r="C19" s="12">
        <v>555.79999999999995</v>
      </c>
      <c r="D19" s="26">
        <f t="shared" si="0"/>
        <v>2.4999999999999994E-2</v>
      </c>
      <c r="E19" s="15"/>
    </row>
    <row r="20" spans="1:5" x14ac:dyDescent="0.25">
      <c r="A20" s="9" t="s">
        <v>38</v>
      </c>
      <c r="B20" s="12">
        <v>0</v>
      </c>
      <c r="C20" s="12">
        <v>0</v>
      </c>
      <c r="E20" s="15"/>
    </row>
    <row r="21" spans="1:5" x14ac:dyDescent="0.25">
      <c r="A21" t="s">
        <v>31</v>
      </c>
      <c r="B21" s="12">
        <v>0</v>
      </c>
      <c r="C21" s="12">
        <v>800.35</v>
      </c>
      <c r="D21" s="26">
        <f t="shared" ref="D21:D26" si="1">+C21/$B$30</f>
        <v>3.5999910039582576E-2</v>
      </c>
      <c r="E21" s="15"/>
    </row>
    <row r="22" spans="1:5" x14ac:dyDescent="0.25">
      <c r="A22" t="s">
        <v>32</v>
      </c>
      <c r="B22" s="12">
        <v>0</v>
      </c>
      <c r="C22" s="12">
        <v>920.4</v>
      </c>
      <c r="D22" s="26">
        <f t="shared" si="1"/>
        <v>4.1399784094998192E-2</v>
      </c>
      <c r="E22" s="15"/>
    </row>
    <row r="23" spans="1:5" x14ac:dyDescent="0.25">
      <c r="A23" t="s">
        <v>33</v>
      </c>
      <c r="B23" s="12">
        <v>0</v>
      </c>
      <c r="C23" s="12">
        <v>1360.6</v>
      </c>
      <c r="D23" s="26">
        <f t="shared" si="1"/>
        <v>6.1200071968333922E-2</v>
      </c>
      <c r="E23" s="15"/>
    </row>
    <row r="24" spans="1:5" x14ac:dyDescent="0.25">
      <c r="A24" t="s">
        <v>34</v>
      </c>
      <c r="B24" s="12">
        <v>0</v>
      </c>
      <c r="C24" s="12">
        <v>920.4</v>
      </c>
      <c r="D24" s="26">
        <f t="shared" si="1"/>
        <v>4.1399784094998192E-2</v>
      </c>
      <c r="E24" s="15"/>
    </row>
    <row r="25" spans="1:5" x14ac:dyDescent="0.25">
      <c r="A25" s="11" t="s">
        <v>35</v>
      </c>
      <c r="B25" s="12">
        <v>371.27</v>
      </c>
      <c r="C25" s="12">
        <v>666.96</v>
      </c>
      <c r="D25" s="26">
        <f t="shared" si="1"/>
        <v>2.9999999999999995E-2</v>
      </c>
      <c r="E25" s="15"/>
    </row>
    <row r="26" spans="1:5" x14ac:dyDescent="0.25">
      <c r="A26" s="9" t="s">
        <v>36</v>
      </c>
      <c r="B26" s="16">
        <v>0</v>
      </c>
      <c r="C26" s="16">
        <v>222.32</v>
      </c>
      <c r="D26" s="26">
        <f t="shared" si="1"/>
        <v>9.9999999999999985E-3</v>
      </c>
      <c r="E26" s="15"/>
    </row>
    <row r="27" spans="1:5" x14ac:dyDescent="0.25">
      <c r="A27" s="9" t="s">
        <v>42</v>
      </c>
      <c r="B27" s="16">
        <v>60.03</v>
      </c>
      <c r="C27" s="16">
        <v>0</v>
      </c>
    </row>
    <row r="28" spans="1:5" x14ac:dyDescent="0.25">
      <c r="A28" s="9" t="s">
        <v>43</v>
      </c>
      <c r="B28" s="16">
        <v>60.03</v>
      </c>
      <c r="C28" s="16">
        <v>0</v>
      </c>
    </row>
    <row r="29" spans="1:5" x14ac:dyDescent="0.25">
      <c r="A29" s="9" t="s">
        <v>44</v>
      </c>
      <c r="B29" s="16">
        <v>60.03</v>
      </c>
      <c r="C29" s="16">
        <v>0</v>
      </c>
    </row>
    <row r="30" spans="1:5" ht="15.75" thickBot="1" x14ac:dyDescent="0.3">
      <c r="A30" s="7" t="s">
        <v>37</v>
      </c>
      <c r="B30" s="23">
        <f>SUM(B10:B29)</f>
        <v>22232.000000000004</v>
      </c>
      <c r="C30" s="23">
        <f>SUM(C10:C29)</f>
        <v>22232</v>
      </c>
      <c r="D30" s="28">
        <f>SUM(D4:D29)</f>
        <v>1</v>
      </c>
    </row>
    <row r="31" spans="1:5" ht="15.75" thickTop="1" x14ac:dyDescent="0.25"/>
    <row r="32" spans="1:5" x14ac:dyDescent="0.25">
      <c r="B32" s="15"/>
      <c r="C32" s="15"/>
    </row>
    <row r="33" spans="3:3" x14ac:dyDescent="0.25">
      <c r="C33" s="15"/>
    </row>
  </sheetData>
  <mergeCells count="2"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ISEO 61838</vt:lpstr>
      <vt:lpstr>ISEO 62649</vt:lpstr>
      <vt:lpstr>ISEO 62090</vt:lpstr>
      <vt:lpstr>ISEO Deposit</vt:lpstr>
      <vt:lpstr>Cohn Reznick</vt:lpstr>
      <vt:lpstr>Staples</vt:lpstr>
      <vt:lpstr>Staples Invoice Detail </vt:lpstr>
      <vt:lpstr>Selective 3-1-18</vt:lpstr>
      <vt:lpstr>Selective 6-2-18</vt:lpstr>
      <vt:lpstr>Selective 811-9_18</vt:lpstr>
      <vt:lpstr>'ISEO 62649'!Print_Area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Elayne Schermerhorn</dc:creator>
  <cp:lastModifiedBy>Debbie Vincent</cp:lastModifiedBy>
  <cp:lastPrinted>2020-10-27T23:08:31Z</cp:lastPrinted>
  <dcterms:created xsi:type="dcterms:W3CDTF">2020-03-10T19:36:03Z</dcterms:created>
  <dcterms:modified xsi:type="dcterms:W3CDTF">2020-10-29T19:23:13Z</dcterms:modified>
</cp:coreProperties>
</file>